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delta.kul.sise/dhs/webdav/52b9eae0d043a9c40fa45cee607f84d7cc12a214/46710080249/af93ea40-7dd3-4793-a3fd-b3f16bfcc5c7/"/>
    </mc:Choice>
  </mc:AlternateContent>
  <xr:revisionPtr revIDLastSave="0" documentId="13_ncr:1_{17F0F569-DA7D-43CE-B693-F3A843051F46}" xr6:coauthVersionLast="47" xr6:coauthVersionMax="47" xr10:uidLastSave="{00000000-0000-0000-0000-000000000000}"/>
  <bookViews>
    <workbookView xWindow="57480" yWindow="-120" windowWidth="29040" windowHeight="15840" xr2:uid="{00000000-000D-0000-FFFF-FFFF00000000}"/>
  </bookViews>
  <sheets>
    <sheet name="KUM" sheetId="11" r:id="rId1"/>
    <sheet name="Leht1" sheetId="12" r:id="rId2"/>
  </sheets>
  <definedNames>
    <definedName name="_xlnm._FilterDatabase" localSheetId="0" hidden="1">KUM!$A$9:$Y$188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Q120" i="11" l="1"/>
  <c r="Q164" i="11"/>
  <c r="Q168" i="11"/>
  <c r="N89" i="11" l="1"/>
  <c r="M89" i="11"/>
  <c r="L89" i="11"/>
  <c r="M101" i="11"/>
  <c r="L101" i="11"/>
  <c r="O101" i="11" s="1"/>
  <c r="P101" i="11" s="1"/>
  <c r="N25" i="11"/>
  <c r="L25" i="11"/>
  <c r="L115" i="11"/>
  <c r="O115" i="11" s="1"/>
  <c r="P115" i="11" s="1"/>
  <c r="Q115" i="11" s="1"/>
  <c r="Q80" i="11"/>
  <c r="O89" i="11" l="1"/>
  <c r="P89" i="11" s="1"/>
  <c r="Q89" i="11" s="1"/>
  <c r="N69" i="11"/>
  <c r="M69" i="11"/>
  <c r="L69" i="11"/>
  <c r="N10" i="11"/>
  <c r="L10" i="11"/>
  <c r="R144" i="11"/>
  <c r="Q169" i="11"/>
  <c r="Q170" i="11"/>
  <c r="Q171" i="11"/>
  <c r="Q172" i="11"/>
  <c r="Q173" i="11"/>
  <c r="Q174" i="11"/>
  <c r="O10" i="11" l="1"/>
  <c r="P10" i="11" s="1"/>
  <c r="Q10" i="11" s="1"/>
  <c r="U94" i="11"/>
  <c r="X97" i="11"/>
  <c r="X187" i="11"/>
  <c r="X49" i="11"/>
  <c r="Q101" i="11"/>
  <c r="Q105" i="11"/>
  <c r="Q104" i="11"/>
  <c r="Q100" i="11"/>
  <c r="X106" i="11"/>
  <c r="N26" i="11"/>
  <c r="M26" i="11"/>
  <c r="L26" i="11"/>
  <c r="O116" i="11"/>
  <c r="P116" i="11" s="1"/>
  <c r="N116" i="11"/>
  <c r="L116" i="11"/>
  <c r="Q107" i="11"/>
  <c r="O26" i="11" l="1"/>
  <c r="U131" i="11"/>
  <c r="X130" i="11"/>
  <c r="X128" i="11"/>
  <c r="X119" i="11"/>
  <c r="X113" i="11"/>
  <c r="X111" i="11"/>
  <c r="X53" i="11"/>
  <c r="P59" i="11"/>
  <c r="X59" i="11"/>
  <c r="P38" i="11"/>
  <c r="X38" i="11"/>
  <c r="U182" i="11"/>
  <c r="U186" i="11"/>
  <c r="P185" i="11"/>
  <c r="U185" i="11"/>
  <c r="U183" i="11"/>
  <c r="Q67" i="11"/>
  <c r="Q64" i="11"/>
  <c r="Q63" i="11"/>
  <c r="Q65" i="11"/>
  <c r="O69" i="11"/>
  <c r="P69" i="11" s="1"/>
  <c r="Q69" i="11" s="1"/>
  <c r="S69" i="11" s="1"/>
  <c r="X68" i="11"/>
  <c r="X71" i="11"/>
  <c r="U75" i="11"/>
  <c r="U74" i="11"/>
  <c r="U73" i="11"/>
  <c r="X79" i="11"/>
  <c r="X148" i="11"/>
  <c r="P26" i="11" l="1"/>
  <c r="Q26" i="11" s="1"/>
  <c r="X6" i="11"/>
  <c r="Q18" i="11" l="1"/>
  <c r="S18" i="11" s="1"/>
  <c r="Q15" i="11"/>
  <c r="S15" i="11" s="1"/>
  <c r="S11" i="11"/>
  <c r="S12" i="11"/>
  <c r="S13" i="11"/>
  <c r="S14" i="11"/>
  <c r="S16" i="11"/>
  <c r="S17" i="11"/>
  <c r="S20" i="11"/>
  <c r="S21" i="11"/>
  <c r="S22" i="11"/>
  <c r="S23" i="11"/>
  <c r="S24" i="11"/>
  <c r="S25" i="11"/>
  <c r="S26" i="11"/>
  <c r="S27" i="11"/>
  <c r="S28" i="11"/>
  <c r="S29" i="11"/>
  <c r="S30" i="11"/>
  <c r="S31" i="11"/>
  <c r="S32" i="11"/>
  <c r="S33" i="11"/>
  <c r="S34" i="11"/>
  <c r="S35" i="11"/>
  <c r="S36" i="11"/>
  <c r="S37" i="11"/>
  <c r="S38" i="11"/>
  <c r="S39" i="11"/>
  <c r="S40" i="11"/>
  <c r="S41" i="11"/>
  <c r="S42" i="11"/>
  <c r="S43" i="11"/>
  <c r="S44" i="11"/>
  <c r="S45" i="11"/>
  <c r="S46" i="11"/>
  <c r="S47" i="11"/>
  <c r="S48" i="11"/>
  <c r="S49" i="11"/>
  <c r="S50" i="11"/>
  <c r="S51" i="11"/>
  <c r="S52" i="11"/>
  <c r="S53" i="11"/>
  <c r="S54" i="11"/>
  <c r="S55" i="11"/>
  <c r="S56" i="11"/>
  <c r="S57" i="11"/>
  <c r="S58" i="11"/>
  <c r="S59" i="11"/>
  <c r="S60" i="11"/>
  <c r="S61" i="11"/>
  <c r="S62" i="11"/>
  <c r="S63" i="11"/>
  <c r="S64" i="11"/>
  <c r="S65" i="11"/>
  <c r="S66" i="11"/>
  <c r="S67" i="11"/>
  <c r="S68" i="11"/>
  <c r="S70" i="11"/>
  <c r="S71" i="11"/>
  <c r="S72" i="11"/>
  <c r="S73" i="11"/>
  <c r="S74" i="11"/>
  <c r="S75" i="11"/>
  <c r="S76" i="11"/>
  <c r="S77" i="11"/>
  <c r="S78" i="11"/>
  <c r="S79" i="11"/>
  <c r="S81" i="11"/>
  <c r="S82" i="11"/>
  <c r="S83" i="11"/>
  <c r="S84" i="11"/>
  <c r="S85" i="11"/>
  <c r="S86" i="11"/>
  <c r="S87" i="11"/>
  <c r="S88" i="11"/>
  <c r="S89" i="11"/>
  <c r="S90" i="11"/>
  <c r="S91" i="11"/>
  <c r="S92" i="11"/>
  <c r="S93" i="11"/>
  <c r="S94" i="11"/>
  <c r="S95" i="11"/>
  <c r="S96" i="11"/>
  <c r="S97" i="11"/>
  <c r="S98" i="11"/>
  <c r="S99" i="11"/>
  <c r="S100" i="11"/>
  <c r="S101" i="11"/>
  <c r="S102" i="11"/>
  <c r="S103" i="11"/>
  <c r="S104" i="11"/>
  <c r="S105" i="11"/>
  <c r="S106" i="11"/>
  <c r="S107" i="11"/>
  <c r="S108" i="11"/>
  <c r="S109" i="11"/>
  <c r="S110" i="11"/>
  <c r="S111" i="11"/>
  <c r="S112" i="11"/>
  <c r="S113" i="11"/>
  <c r="S114" i="11"/>
  <c r="S115" i="11"/>
  <c r="S116" i="11"/>
  <c r="S117" i="11"/>
  <c r="S118" i="11"/>
  <c r="S119" i="11"/>
  <c r="S121" i="11"/>
  <c r="S122" i="11"/>
  <c r="S123" i="11"/>
  <c r="S124" i="11"/>
  <c r="S125" i="11"/>
  <c r="S126" i="11"/>
  <c r="S127" i="11"/>
  <c r="S128" i="11"/>
  <c r="S129" i="11"/>
  <c r="S130" i="11"/>
  <c r="S131" i="11"/>
  <c r="S132" i="11"/>
  <c r="S133" i="11"/>
  <c r="S134" i="11"/>
  <c r="S135" i="11"/>
  <c r="S136" i="11"/>
  <c r="S137" i="11"/>
  <c r="S138" i="11"/>
  <c r="S139" i="11"/>
  <c r="S140" i="11"/>
  <c r="S141" i="11"/>
  <c r="S142" i="11"/>
  <c r="S143" i="11"/>
  <c r="S144" i="11"/>
  <c r="S145" i="11"/>
  <c r="S146" i="11"/>
  <c r="S147" i="11"/>
  <c r="S148" i="11"/>
  <c r="S149" i="11"/>
  <c r="S150" i="11"/>
  <c r="S151" i="11"/>
  <c r="S152" i="11"/>
  <c r="S154" i="11"/>
  <c r="S155" i="11"/>
  <c r="S156" i="11"/>
  <c r="S157" i="11"/>
  <c r="S158" i="11"/>
  <c r="S159" i="11"/>
  <c r="S160" i="11"/>
  <c r="S161" i="11"/>
  <c r="S162" i="11"/>
  <c r="S163" i="11"/>
  <c r="S165" i="11"/>
  <c r="S166" i="11"/>
  <c r="S167" i="11"/>
  <c r="S168" i="11"/>
  <c r="S169" i="11"/>
  <c r="S170" i="11"/>
  <c r="S171" i="11"/>
  <c r="S172" i="11"/>
  <c r="S173" i="11"/>
  <c r="S174" i="11"/>
  <c r="S175" i="11"/>
  <c r="S176" i="11"/>
  <c r="S177" i="11"/>
  <c r="S178" i="11"/>
  <c r="S179" i="11"/>
  <c r="S180" i="11"/>
  <c r="S181" i="11"/>
  <c r="S182" i="11"/>
  <c r="S183" i="11"/>
  <c r="S184" i="11"/>
  <c r="S185" i="11"/>
  <c r="S186" i="11"/>
  <c r="S187" i="11"/>
  <c r="S188" i="11"/>
  <c r="S10" i="11"/>
  <c r="Q153" i="11"/>
  <c r="S153" i="11" s="1"/>
  <c r="S120" i="11"/>
  <c r="U6" i="11" l="1"/>
  <c r="V6" i="11"/>
  <c r="W6" i="11"/>
  <c r="R6" i="11"/>
  <c r="O6" i="11"/>
  <c r="N6" i="11"/>
  <c r="M6" i="11"/>
  <c r="L6" i="11"/>
  <c r="S80" i="11"/>
  <c r="S164" i="11" l="1"/>
  <c r="Q19" i="11" l="1"/>
  <c r="S19" i="11" s="1"/>
  <c r="Q6" i="11" l="1"/>
  <c r="S6" i="11" l="1"/>
  <c r="T6" i="11"/>
</calcChain>
</file>

<file path=xl/sharedStrings.xml><?xml version="1.0" encoding="utf-8"?>
<sst xmlns="http://schemas.openxmlformats.org/spreadsheetml/2006/main" count="1678" uniqueCount="412">
  <si>
    <t>Lõplik eelarve</t>
  </si>
  <si>
    <t>Kasutamata eelarve jääk</t>
  </si>
  <si>
    <t>(1)</t>
  </si>
  <si>
    <t>(2)</t>
  </si>
  <si>
    <t>Reservi tagastatud</t>
  </si>
  <si>
    <t xml:space="preserve">Korralise käskkirjaga reservi tagastatud (käesoleva käskkirjaga) </t>
  </si>
  <si>
    <t>(10)</t>
  </si>
  <si>
    <t>Tegevuspõhise eelarve korral</t>
  </si>
  <si>
    <t>(6)</t>
  </si>
  <si>
    <t>(9)</t>
  </si>
  <si>
    <t>Erakorralise käskkirjaga reservi tagastatud (käskkirja nr xx alusel)</t>
  </si>
  <si>
    <t>Tervikliku ülevaate saamiseks sisaldab vorm infot jääkide kohta, mida üle ei viida.</t>
  </si>
  <si>
    <t>e) kui eelarve objekt on "SE000028" siis võimalikuks ülekandmise summaks on null (0);</t>
  </si>
  <si>
    <t>Lisa 1</t>
  </si>
  <si>
    <t>Valitsemisala</t>
  </si>
  <si>
    <t>Eelarve liik</t>
  </si>
  <si>
    <t>Majanduslik sisu</t>
  </si>
  <si>
    <t>Objekti nimi</t>
  </si>
  <si>
    <t>Programmi tegevuse kood</t>
  </si>
  <si>
    <t>…....................ministri käskkirja</t>
  </si>
  <si>
    <t>(3)</t>
  </si>
  <si>
    <t>(5)</t>
  </si>
  <si>
    <t>(7)</t>
  </si>
  <si>
    <t>(8)=(6)+(7)</t>
  </si>
  <si>
    <t>a) veeru (5) lahtris summa ei tohi olla suurem kui veerus (1) lahtris summast tingimusel, et veeru (1) lahtris ei ole null;</t>
  </si>
  <si>
    <t>b) kui veeru (5) lahtri summa on suurem kui veeru (1) lahtris summa, siis veeru (5) lahtris summa võrdub veeru (1) lahtris oleva summaga;</t>
  </si>
  <si>
    <t>c) kui veeru (1) lahtris on null, siis veeru (5) lahtris peab olema samuti null;</t>
  </si>
  <si>
    <t>d) OR objekti puhul veeru (5) lahtri summa võrdub veeru (4) lahtri summaga, kui valitsuse korralduses ei ole seatud eelarve kasutamisele tähtaega. Viimasel juhul lähtutakse tähtajast.</t>
  </si>
  <si>
    <t>f) kui veerg (3) on suurem kui veerg (2), siis võimalikuks ülekandmise summaks on veerg (4);</t>
  </si>
  <si>
    <t xml:space="preserve">g) kui veerg (2) on suurem kui veerg (3) ja veerg (4) on suurem kui veerg (1), siis veerg (5) võrdub veerg (1). </t>
  </si>
  <si>
    <t>Tulemusvaldkond -nimi</t>
  </si>
  <si>
    <t>Programm - nimi</t>
  </si>
  <si>
    <t xml:space="preserve">Täitmine </t>
  </si>
  <si>
    <t>Võimalik üle viia järgnevasse aastasse</t>
  </si>
  <si>
    <t>Erakorraline ülekandmine</t>
  </si>
  <si>
    <t>Korraline ülekandmine</t>
  </si>
  <si>
    <t>Ülekandmine kokku</t>
  </si>
  <si>
    <t>Programmi tegevuse nimi</t>
  </si>
  <si>
    <t>Eelarve objekti kood</t>
  </si>
  <si>
    <t>(4)=(1)-(3)</t>
  </si>
  <si>
    <t>Sh üle toodud eelnevast aastast</t>
  </si>
  <si>
    <t>Asutus</t>
  </si>
  <si>
    <t>Aktiga teisele valitsemisalale üle antud vahendid</t>
  </si>
  <si>
    <t>Märkused (mille alusel; kellele vms)</t>
  </si>
  <si>
    <t>Kultuur ja sport</t>
  </si>
  <si>
    <t>Kultuur</t>
  </si>
  <si>
    <t>Kirjanduspoliitika kujundamine ja rakendamine</t>
  </si>
  <si>
    <t>Kultuuriministeerium</t>
  </si>
  <si>
    <t>Toetused</t>
  </si>
  <si>
    <t>Etenduskunstide poliitika kujundamine ja rakendamine</t>
  </si>
  <si>
    <t>Audiovisuaalpoliitika kujundamine ja rakendamine</t>
  </si>
  <si>
    <t>Valitsemisala remondifond</t>
  </si>
  <si>
    <t>Eesti Filmi Instituut SA edasiantavad toetused filmikultuuri arendamiseks</t>
  </si>
  <si>
    <t>Eesti Filmi Instituut SA - Väliskapitalil Eestis toodetavate filmide toetusmehhanismi Film Estonia kuludeks</t>
  </si>
  <si>
    <t>Eesti Filmi Instituut SA - väärtfilmi kinode tegevustoetus</t>
  </si>
  <si>
    <t>Muusikapoliitika kujundamine ja rakendamine</t>
  </si>
  <si>
    <t>Muusikakollektiivid ja kontserdikorraldajad</t>
  </si>
  <si>
    <t>Helilooming ja muusikaalased väljaanded</t>
  </si>
  <si>
    <t>Kunstipoliitika kujundamine ja rakendamine</t>
  </si>
  <si>
    <t>IN06S035</t>
  </si>
  <si>
    <t>Kunstihoone SA investeeringutoetus</t>
  </si>
  <si>
    <t>Eesti Kunstnike Liit MTÜ - Kunstniku palk</t>
  </si>
  <si>
    <t>Arhitektuuri ja disaini poliitika kujundamine ning rakendamine</t>
  </si>
  <si>
    <t>Arhitektuuri ja disaini arendusprojektid</t>
  </si>
  <si>
    <t>Meediapoliitika kujundamine ja rakendamine</t>
  </si>
  <si>
    <t>Erameediakanalite toetus venekeelse inforuumi tasakaalustamiseks</t>
  </si>
  <si>
    <t>Raamatukogupoliitika kujundamine ja rakendamine</t>
  </si>
  <si>
    <t>SE060003</t>
  </si>
  <si>
    <t>Eesti Rahvusraamatukogu riiklike raamatukoguteeninduse koordineerimise ülesannete kuludeks</t>
  </si>
  <si>
    <t>IN06A001</t>
  </si>
  <si>
    <t>Eesti Rahvusraamatukogu hoone</t>
  </si>
  <si>
    <t>Raamatukogude arendusprojektid</t>
  </si>
  <si>
    <t>Rahvakultuuripoliitika kujundamine ja rakendamine</t>
  </si>
  <si>
    <t>Eesti Laulu- ja Tantsupeo SA, edasiantavad toetused laulu- ja tantsupeo kollektiivide toetamiseks</t>
  </si>
  <si>
    <t>Muuseumi- ja muinsuskaitsepoliitika kujundamine, rakendamine</t>
  </si>
  <si>
    <t>Eesti Tarbekunsti- ja Disainimuuseum SA** tegevustoetus</t>
  </si>
  <si>
    <t>Eesti Arhitektuurimuuseum SA** tegevustoetus</t>
  </si>
  <si>
    <t>Sihtasutus Tartu Kunstimuuseum** tegevustoetus</t>
  </si>
  <si>
    <t>SR060115</t>
  </si>
  <si>
    <t>Eesti Spordi- ja Olümpiamuuseum SA, muuseumi kasutuses oleva hoone 2023.a. energiatõhustustööde kulud</t>
  </si>
  <si>
    <t>Eesti Vabaõhumuuseum SA** vahendid aadlivappide korrastamiseksEesti Vabaõhumuuseum SA** vahendid aadlivappide korrastamiseks</t>
  </si>
  <si>
    <t>Narva Muuseum SA** remondifondi toetus</t>
  </si>
  <si>
    <t>IN06S008</t>
  </si>
  <si>
    <t>Muuseumide reserv</t>
  </si>
  <si>
    <t>Kultuurivaldkonna digiteerimine</t>
  </si>
  <si>
    <t>Digiteerimise tegevuskava - Muinsuskaitseamet, Tartu Tähetorni 3D digiteerimine</t>
  </si>
  <si>
    <t>Tegevuskulud</t>
  </si>
  <si>
    <t>Kultuuriministeeriumi tegevuskulud</t>
  </si>
  <si>
    <t>Kultuurivaldkonna rahvusvahelistumise edendamine</t>
  </si>
  <si>
    <t>Eesti kultuur maailmas</t>
  </si>
  <si>
    <t>Riikidevaheliste kultuurikoostöölepingute täitmine</t>
  </si>
  <si>
    <t>SE000003</t>
  </si>
  <si>
    <t>Liikmemaksud (rahvusvahelised organisatsioonid)</t>
  </si>
  <si>
    <t>Kultuuri valdkondadeülene tugi- ja arendustegevus</t>
  </si>
  <si>
    <t>Teadus- ja arendustegevus</t>
  </si>
  <si>
    <t>IKT teenused ja toetused</t>
  </si>
  <si>
    <t>SR06A070</t>
  </si>
  <si>
    <t>Elujõulise Eesti kultuuri teadus- ja arendusprogrammi rakendamiseks</t>
  </si>
  <si>
    <t>Elujõulise Eesti kultuuri teadus- ja arendusprogrammi rakendamiseks, Eesti Teadusagentuur</t>
  </si>
  <si>
    <t>Investeeringud</t>
  </si>
  <si>
    <t>IN002000</t>
  </si>
  <si>
    <t>Infotehnoloogia investeeringud</t>
  </si>
  <si>
    <t>IN005000</t>
  </si>
  <si>
    <t>Kultuuriministeeriumi valitsemisala investeeringud</t>
  </si>
  <si>
    <t>Saavutusspordi toetamine ja arendamine</t>
  </si>
  <si>
    <t>Sport</t>
  </si>
  <si>
    <t>Sotsiaaltoetused</t>
  </si>
  <si>
    <t>Riigi spordistipendiumid</t>
  </si>
  <si>
    <t>Spordikoolituse ja -Teabe SA - Toetus treenerite tööjõukulude katmiseks</t>
  </si>
  <si>
    <t>Eesti Olümpiakomitee MTÜ - Tiitlivõistlustel osalenud sportlaste ja nende treenerite tunnustamine</t>
  </si>
  <si>
    <t>IN06S014</t>
  </si>
  <si>
    <t>Tehvandi Spordikeskus SA* investeeringutoetus</t>
  </si>
  <si>
    <t>Eesti Võrpalli Liit - finaalturniiridel osalevad meeskonnad (naiste võrkpallikoondis)</t>
  </si>
  <si>
    <t>IN06M016</t>
  </si>
  <si>
    <t>Pärnu Sõudeklubi MTÜ* Rääma sõudebaasi I etapi lõpetamiseks</t>
  </si>
  <si>
    <t>Kultuuriministeeriumi valitsemisala investeeringud - Tehvandi Spordikeskus SA* investeeringutoetus</t>
  </si>
  <si>
    <t>SE000099</t>
  </si>
  <si>
    <t>Riigikogu lisavahendid</t>
  </si>
  <si>
    <t>Organiseeritud liikumisharrastuse edendamine</t>
  </si>
  <si>
    <t>Liikumisharrastuse edendamise reformi elluviimine</t>
  </si>
  <si>
    <t>Multifunktsionaalsete aastaringselt kasutatavate spordiväljakute, sh jalgpalli sisehallide rajamine</t>
  </si>
  <si>
    <t>Regionaalsete tervisespordikeskuste väljaarendamise toetus</t>
  </si>
  <si>
    <t>Tervisespordikeskuste olme- ja teenindushooned</t>
  </si>
  <si>
    <t>Muinsuskaitseamet</t>
  </si>
  <si>
    <t>Eesti ajaloolise taluarhitektuuri toetusprogramm</t>
  </si>
  <si>
    <t>Leiuautasud</t>
  </si>
  <si>
    <t>SR060188</t>
  </si>
  <si>
    <t>Leiutasu arheoloogilise leiu leidjatele</t>
  </si>
  <si>
    <t>IN06M002</t>
  </si>
  <si>
    <t>Toetus kinnismälestiste omanikele</t>
  </si>
  <si>
    <t>Muuseumide kiirendi</t>
  </si>
  <si>
    <t>OR060186</t>
  </si>
  <si>
    <t>Toetus omandireformi käigus tagastatud ehitismälestiste hooldamiseks, remontimiseks, konserveerimiseks, restaureerimiseks ja taastamiseks</t>
  </si>
  <si>
    <t>OR060349</t>
  </si>
  <si>
    <t>OR060275</t>
  </si>
  <si>
    <t>OR060454</t>
  </si>
  <si>
    <t>SR060184</t>
  </si>
  <si>
    <t>Infotehnoloogia kulud (IT vajaku kompenseerimine)</t>
  </si>
  <si>
    <t>Eesti Lastekirjanduse Keskus</t>
  </si>
  <si>
    <t>Eesti Lastekirjanduse Keskuse tegevuskulud</t>
  </si>
  <si>
    <t>Eesti Rahvakultuuri Keskus</t>
  </si>
  <si>
    <t>Laulu- ja tantsupeo kollektiivijuhtide palgatoetus</t>
  </si>
  <si>
    <t>Setomaa pärimuskultuuri toetamine</t>
  </si>
  <si>
    <t>Etenduskunstide regionaalse kättesaadavuse toetused "Teater Maal"</t>
  </si>
  <si>
    <t>Mulgimaa pärimuskultuuri toetamine</t>
  </si>
  <si>
    <t>Kihnu Kultuuriruumi toetamine</t>
  </si>
  <si>
    <t>Vana Võromaa pärimuskultuuri toetamine</t>
  </si>
  <si>
    <t>Saarte pärimuskultuuri toetamine</t>
  </si>
  <si>
    <t>Virumaa pärimuskultuuri toetamine</t>
  </si>
  <si>
    <t>Peipsiveere pärimuskultuuri toetamine</t>
  </si>
  <si>
    <t>Folkloorifestivalide toetamine</t>
  </si>
  <si>
    <t xml:space="preserve">Ida-Viru noorte kultuuritegevuse toetamine Ida-Viru noorte kultuuritegevuse toetamine </t>
  </si>
  <si>
    <t>Eesti Rahvakultuuri Keskuse tegevuskulud</t>
  </si>
  <si>
    <t>Võru Instituut</t>
  </si>
  <si>
    <t>Võru Instituudi tegevuskulud</t>
  </si>
  <si>
    <t>Eesti Rahva Muuseum</t>
  </si>
  <si>
    <t>Eesti Rahva Muuseum** tegevuskulud</t>
  </si>
  <si>
    <t>Palamuse O.Lutsu Kihelkonnakoolimuuseum</t>
  </si>
  <si>
    <t>Palamuse O.Lutsu Kihelkonnakoolimuuseum tegevustoetus</t>
  </si>
  <si>
    <t>Viljandi Muuseum</t>
  </si>
  <si>
    <t>Viljandi Muuseum tegevustoetus</t>
  </si>
  <si>
    <t>Sidus ühiskond</t>
  </si>
  <si>
    <t>Sidus Eesti: Lõimumine, sh kohanemine</t>
  </si>
  <si>
    <t>Lõimumis-, sh kohanemispoliitika kujundamine ja rakendamine</t>
  </si>
  <si>
    <t xml:space="preserve">Integratsiooni Sihtasutus - Eesti keele majade tegevustoetus </t>
  </si>
  <si>
    <t>Integratsiooni Sihtasutus - Rahvusvähemuste kultuuriühingute toetamine</t>
  </si>
  <si>
    <t>Integratsiooni Sihtasutus - Lõimumist edendavad kultuuri- ja sporditegevused</t>
  </si>
  <si>
    <t>Integratsiooni SA - Lõimumiskava rakendamise programm</t>
  </si>
  <si>
    <t>Ida-Viru kultuuriprogramm</t>
  </si>
  <si>
    <t>SR060096</t>
  </si>
  <si>
    <t>Integratsiooni SA - Ukraina sõjapõgenikest kuni 19-aastaste noorte toetamine ukraina keele ja kultuuri säilitamiseks</t>
  </si>
  <si>
    <t>Ukraina sõjapõgenike iseseisvat õpet toetavad IT lahendused ja kommunikatsioonikulud</t>
  </si>
  <si>
    <t>Integratsiooni SA - Ukraina sõjapõgenike keeleõpe</t>
  </si>
  <si>
    <t>Rahvuskaaslaste toetamine</t>
  </si>
  <si>
    <t>Integratsiooni Sihtasutus - Tagasipöördumistoetus</t>
  </si>
  <si>
    <t>Integratsiooni Sihtasutus - Rahvuskaaslaste nõustamisteenuse pakkumine ja eesti keele laagrid etnilistele eestlastele</t>
  </si>
  <si>
    <t>SR06A020</t>
  </si>
  <si>
    <t>Ausa spordi ja sporditurvalisuse toetamine ning arendamine</t>
  </si>
  <si>
    <t>Eesti Antidopingu ja Spordieetika Sihtasutus tegevustoetus</t>
  </si>
  <si>
    <t>Rahvusooper Estonia** remondifondi toetus</t>
  </si>
  <si>
    <t>SE060001</t>
  </si>
  <si>
    <t>Kuressaare Teater SA remondifondi toetus</t>
  </si>
  <si>
    <t>Munitsipaaletendusasutuste, sihtasutusena tegutsevate munitsipaaletendusasutuste ja eraetendusasutuste tegevustoetus</t>
  </si>
  <si>
    <t>SE000028</t>
  </si>
  <si>
    <t>Vahendid Riigi Kinnisvara Aktsiaseltsile (teatrid)</t>
  </si>
  <si>
    <t>Rahvusooper Estonia** tegevustoetus</t>
  </si>
  <si>
    <t>Vahendid Riigi Kinnisvara Aktsiaseltsile</t>
  </si>
  <si>
    <t>IN06R025</t>
  </si>
  <si>
    <t>Eesti Lastekirjanduse Keskus põhivara soetus</t>
  </si>
  <si>
    <t>Autorihüvitusfond SA - Laenutus- ja reprograafiahüvitis</t>
  </si>
  <si>
    <t>Preemiad</t>
  </si>
  <si>
    <t>Teadus- ja arendustegevus, Eesti Ajaloomuuseum SA**</t>
  </si>
  <si>
    <t>Teadus- ja arendustegevus, Eesti Tarbekunsti- ja Disainimuuseum SA**</t>
  </si>
  <si>
    <t>Teadus- ja arendustegevus "Loovuurimus", Eesti Teadusagentuur SA</t>
  </si>
  <si>
    <t>Teema-aasta "Eesti raamat 500" korraldamine, Eesti Kirjanduse Selts</t>
  </si>
  <si>
    <t>Kultuuriministeeriumi vahendid Riigi Kinnisvara Aktsiaseltsile</t>
  </si>
  <si>
    <t>EL kultuuriprogrammis osalevate Eesti projektide kaasrahastamine</t>
  </si>
  <si>
    <t>Loovisikute toetamine ja tunnustamine</t>
  </si>
  <si>
    <t>IN06A003</t>
  </si>
  <si>
    <t>Rahvusringhääling, hooned ja tehnika</t>
  </si>
  <si>
    <t>SE060002</t>
  </si>
  <si>
    <t>Eesti Rahvusringhääling tegevustoetus ja remondifondi toetus</t>
  </si>
  <si>
    <t>SR060032</t>
  </si>
  <si>
    <t>Erameedia poolt venekeelset inforuumi tasakaalustava ja ühist inforuumi kujundava ajakirjandusliku sisu loomise ja edastamise kulud</t>
  </si>
  <si>
    <t>SR060068</t>
  </si>
  <si>
    <t>Eesti Rahvusringhääling IKT küberturvalisuse kulud</t>
  </si>
  <si>
    <t>Eesti Kunstimuuseum SA** museaalide soetus</t>
  </si>
  <si>
    <t>IN06R039</t>
  </si>
  <si>
    <t>Viljandi Muuseum, Mart Saare muuseumi hoone katuse remont</t>
  </si>
  <si>
    <t>IN06R040</t>
  </si>
  <si>
    <t>Palamuse O.Lutsu Kihelkonnakoolimuuseum küttesüsteemi renoveerimine</t>
  </si>
  <si>
    <t>IN06R051</t>
  </si>
  <si>
    <t>Eesti Rahva Muuseum** investeering</t>
  </si>
  <si>
    <t>IN06S006</t>
  </si>
  <si>
    <t>Virumaa Muuseumid SA** remondifondi toetus</t>
  </si>
  <si>
    <t>IN06S034</t>
  </si>
  <si>
    <t>Saaremaa Muuseum SA** remondifondi toetus kontorihoone renoveerimiseks</t>
  </si>
  <si>
    <t>IN06S040</t>
  </si>
  <si>
    <t>Eesti Kunstimuuseum SA** remondifondi toetus Kadrioru lossi üleminekuks kaugküttele</t>
  </si>
  <si>
    <t>OR060246</t>
  </si>
  <si>
    <t>SR060131</t>
  </si>
  <si>
    <t>Eesti Spordi- ja Olümpiamuuseum SA, muuseumi kasutuses oleva hoone 2024.a. energiatõhustustööde kulud</t>
  </si>
  <si>
    <t>Muinsuskaitse, muuseumide ja raamatukogunduse valdkonnaüleste partnerorganisatsioonide tegevustoetus</t>
  </si>
  <si>
    <t>Avalik-õigusliku isiku muuseumide, munitsipaalmuuseumide ja eramuuseumide tegevustoetus</t>
  </si>
  <si>
    <t>Eesti Arhitektuurimuuseum</t>
  </si>
  <si>
    <t>Eesti Tarbekunsti- ja Disainimuuseum</t>
  </si>
  <si>
    <t>Tartu Kunstimuuseum</t>
  </si>
  <si>
    <t>IN06S009</t>
  </si>
  <si>
    <t>Jõulumäe Tervisespordikeskus SA</t>
  </si>
  <si>
    <t>Maakonna spordiliidu toetus</t>
  </si>
  <si>
    <t>Eesti Rahvusraamatukogu e-raamatukogu</t>
  </si>
  <si>
    <t>Eesti Rahvusraamatukogu, vahendid Riigi Kinnisvara Aktsiaseltsile</t>
  </si>
  <si>
    <t>Eesti Rahvusraamatukogu tegevustoetus</t>
  </si>
  <si>
    <t>SR06A116</t>
  </si>
  <si>
    <t>Eesti Rahvusraamatukogu infotehnoloogia kulud</t>
  </si>
  <si>
    <t>Rahvaraamatukogude teavikud</t>
  </si>
  <si>
    <t>Rahvaraamatukogude tegevuskulud / maakonnaraamatukogu töötaja kulu</t>
  </si>
  <si>
    <t>Eesti Laulu- ja Tantsupeo SA tegevustoetus</t>
  </si>
  <si>
    <t>Maakondade ja maakonna üleste laulu- ja tantsupidude toetamine</t>
  </si>
  <si>
    <t>Tallinna Maraton 2024 - MTÜ Maratonijooksud</t>
  </si>
  <si>
    <t>Rühmvõimlemise maailmameistrivõistlused (IFAGG World Championships) Tartu Trophy - MTÜ Eesti Võimlemisliit</t>
  </si>
  <si>
    <t>Kultuuri- ja spordi suurürituste toetus</t>
  </si>
  <si>
    <t>Riigi spordipreemiad</t>
  </si>
  <si>
    <t>SR06A061</t>
  </si>
  <si>
    <t>Kohanemisprogrammi kursustele registreerimise infosüsteemi ülalhoiu kulu</t>
  </si>
  <si>
    <t>Kohanemisprogramm ajutise kaitse saajatele</t>
  </si>
  <si>
    <t>Integratsiooni SA - Rahvusvahelise kaitse saajate kohanemisprogramm (sh kommunikatsiooni- ja tõlkekulud)</t>
  </si>
  <si>
    <t>Integratsiooni SA - Rahvusvahelise kaitse (täiendav kaitse) saajate keeleõpe (A1-tase)</t>
  </si>
  <si>
    <t>Integratsiooni SA - Rahvusvahelise kaitse (täiendav kaitse) saajate keeleõppe (A1-tase) halduskulu</t>
  </si>
  <si>
    <t>SR06A123</t>
  </si>
  <si>
    <t>KUM EL tagasinõuded, mitteabikõlblike toetuste katmine</t>
  </si>
  <si>
    <t>Integratsiooni Sihtasutus - Pereõppe partnerorganisatsioonide toetamine</t>
  </si>
  <si>
    <t>Integratsiooni Sihtasutus - Rahvusvähemuste katusorganisatsioonide toetamine</t>
  </si>
  <si>
    <t>Integratsiooni Sihtasutus - Toetus Ukraina sõjapõgenikest kuni 19-aastastele noortele ukraina keele ja kultuuri säilimiseks</t>
  </si>
  <si>
    <t>Eesti Arhitektuurimuuseum** vahendid Riigi Kinnisvara Aktsiaseltsile</t>
  </si>
  <si>
    <t>Eesti Arhitektuurimuuseum** tegevustoetus</t>
  </si>
  <si>
    <t>Eesti Rahva Muuseum** vahendid Riigi Kinnisvara Aktsiaseltsile</t>
  </si>
  <si>
    <t>Vahendid Riigi Kinnisvara AS-le</t>
  </si>
  <si>
    <t>Lisatud tuludest liigiga 20 summa 2137,72 eurot. 2025. aastasse lükkus püsinäituste amortiseerunud IT tehnika uuendamine  37 325 €, mille tegevused kujunesid ettenägematult ajamahukamaks.  Tarkvaralistest  lahendustest tuleneva riistvara konfiguratsiooni kooskõlastamine on partneritega lõpetatud, vajalikud tehnikaostud kavandatud 2025. aastal. Ekspositsiooni targad läbipääsusüsteemid (mehhaaniliste turvaväravate asendamine kaasaegsete lahendusteega) ja ekspositsioonide külastusteekonna analüüsisüsteem (vajalik näituste arenduse ja hinnastamise sisendina - seni puudus) 48 428,72 € realiseerumine kandub 2025. aastasse. Projekti kontseptsioonist tuleneva detailse tööversiooni väljatöötamise periood pikenes selle keerukuse tõttu. Üle kantakse ka 31 388,74 € väärtuses Näituste Kellele kuulub öö ning Ryoji Ikeda isikunäitus periodiseeritavad kulukanded. Finantsressurss reserveeriti ERMi eelarves 2024 - näituse arenduse kuluarvete tasumisel. Näitused olid avatud ning  piletitulu tekkis osaliselt ka 2025, mistõttu kulude periodiseerimise printsiibi alusel toimuvad vastavad kulukanded 2025.</t>
  </si>
  <si>
    <t>Toetuste tekkepõhine kasutamine on osaliselt lükkunud 2025. aastasse, toetusotsused on tehtud 2024. aastal. Ettemaks 1100 eurot.</t>
  </si>
  <si>
    <t>Valitsemisala remondifondi jääk. Toetuse kasutamine kavandatud 2025. aastasse, etendusasutuste jooksva remondi kulude katteks.</t>
  </si>
  <si>
    <t>Etendusasutuste tegevustoetus</t>
  </si>
  <si>
    <t>Üle ei kanna, tegemist 2023.a. jäägiga</t>
  </si>
  <si>
    <t>Toetused kultuuriprojektidele (Kultuuripealinn Tartu 2024, Balti kultuurifond, Soome-Eesti kultuurifond, Loov Eesti MTÜ toetus)</t>
  </si>
  <si>
    <t>Läbi avatud taotlusvooru (toetuse andmise tingimused kinnitatud ministri määruse alusel) antud sihtotstarbeliste toetuste jääk. Toetuste tekkepõhine kasutamine on osaliselt lükkunud 2025. aastasse, kuid toetusotsused on tehtud 2024. aastal.</t>
  </si>
  <si>
    <t>Kunstivaldkonna tegevustoetused (Kunstihoone SA, Eesti Kunstnike Liit, Eesti Kaasaegse Kunsti Muuseum, Eesti Kaasaegse Kunsti Arenduskeskus, Kaasaegse Kunsti Eesti Keskus, Konrad Mägi SA, Eesti Kunstiakadeemia Narva residentuur)</t>
  </si>
  <si>
    <t>Lõimumisvaldkonna programmid, Integratsiooni SA tegevustoetus</t>
  </si>
  <si>
    <t>Jääk ei ole ülekantav.</t>
  </si>
  <si>
    <t>Antud sihtotstarbelised toetused remondifondist, mille kulud (kuuel muuseumil) lükkusid osaliselt 2025. aastasse.</t>
  </si>
  <si>
    <t>Muuseumide tegevustoetus (riigi sihtasutused, riigile kuuluvat muuseumikogu kasutavad muuseumid)</t>
  </si>
  <si>
    <t>Nõudena üleval olevad sihtotstarbelised toetused, mille kulud lükkusid 2025. aastasse.</t>
  </si>
  <si>
    <t>2024. aastal ei olnud kiireloomulisi ühekordseid projekte planeeritud mahus. Jääk on kavandatud 2025. aastal läbiviidavaks uuringuteks ja ühekordseteks projektideks (sportimisvõimaluste kaardistamine lasteaedades, täiskasvanud rahvastiku tervisekäitumise uuringu valimi laiendamine ja 2024. aastal piloteeritud avalikele mänguväljakutele pallikastide ja pallide soetamise projekti jätkamiseks).</t>
  </si>
  <si>
    <t>Spordiorganisatsioonide tegevustoetus (SA Liikumisharrastuse kompetentsikeskus, Eriolümpia Eesti Ühendus, Eesti Terviserajad SA, Eesti Seeniorispordi ja Spordiveteranide Liit, Eesti Akadeemiline Spordiliit,  Eesti Paralümpiakomitee, Eesti Kutsekoolispordi Liit)</t>
  </si>
  <si>
    <t>Nõudena üleval olevad sihtotstarbelised toetused, mille väikeses mahus kulud lükkusid 2025. aastasse.</t>
  </si>
  <si>
    <t>2025. aastal jätkub partnerorganisatsioonide sihtotstarbeline toetamine.</t>
  </si>
  <si>
    <t>Portaali Global Estonian arendustegevused võtsid planeeritust rohkem aega. Tegevustega jätkatakse 2025.a</t>
  </si>
  <si>
    <t>Summa maksti välja veebruaris 2025 a. Esitatud aruandest selgub, et majanduslik mõju on piisav toetuse II osa väljamaksmiseks.</t>
  </si>
  <si>
    <t>Spordi suurvõistluste toetamine</t>
  </si>
  <si>
    <t xml:space="preserve">Spordivaldkonna organisatsioonide toetus (EOK, Team Estonia koondiste toetus, spordialaliidud, noortesport, Audentes riikliku koolitustellimuse läbiviimine, Tehvandi Spordikeskus, Jõulumäe Tervisespordikeskus, </t>
  </si>
  <si>
    <t xml:space="preserve">Erinevates riikides tegutsevate kultuuriesindajate (diplomaadid) tegevusega seotud kulud. Kultuuriesindajad viivad ellu erinevaid kultuuritegevusega seotud projekte ja jääk on planeeritud 2025. aasta tegevuste katteks. </t>
  </si>
  <si>
    <t>Veneetsia Arhitektuuribiennaali Eesti väljapanek</t>
  </si>
  <si>
    <t>Muinsuskaitseameti tegevuskulud</t>
  </si>
  <si>
    <t>Hoone katuse remonttööd on põhiosas lõpetatud. Väike osa töödest kandus üle 2025. aasta algusesse.</t>
  </si>
  <si>
    <t>202X. aasta riigieelarve piirmääraga vahendite (liik 20) kasutamata eelarve ülekandmine ja reservi tagastamine (eurodes)</t>
  </si>
  <si>
    <t>Konto nimi (minimaalselt eelarveklassifikaatori määruse lisas toodud detailsuses)</t>
  </si>
  <si>
    <t>(5) veerg leitakse veerust (4) järgmiste tingimustega (kõik summad absoluutväärtuses):</t>
  </si>
  <si>
    <t>(7) veerg sisaldab andmeid kõikide erakorraliste eelarvejääkide ülekandmiste kohta.</t>
  </si>
  <si>
    <t>(8) veerg sisaldab andmeid korralise (lõpliku) ülekandmise kohta – mais antava ministri käskkirja alus.</t>
  </si>
  <si>
    <t>(9) veerge võib olla mitu vastavalt erakorraliste käskkirjade arvule.</t>
  </si>
  <si>
    <t>KS010107</t>
  </si>
  <si>
    <t>KS010104</t>
  </si>
  <si>
    <t>KS020102</t>
  </si>
  <si>
    <t>KS010103</t>
  </si>
  <si>
    <t>KS010102</t>
  </si>
  <si>
    <t>KS010304</t>
  </si>
  <si>
    <t>KS010301</t>
  </si>
  <si>
    <t>KS010302</t>
  </si>
  <si>
    <t>KS010106</t>
  </si>
  <si>
    <t>KS010101</t>
  </si>
  <si>
    <t>SY060201</t>
  </si>
  <si>
    <t>KS010108</t>
  </si>
  <si>
    <t>KS010205</t>
  </si>
  <si>
    <t>KS010105</t>
  </si>
  <si>
    <t>KS020201</t>
  </si>
  <si>
    <t>KS010203</t>
  </si>
  <si>
    <t>KS010204</t>
  </si>
  <si>
    <t>SY060301</t>
  </si>
  <si>
    <t>KS020101</t>
  </si>
  <si>
    <t>Audiovisuaalvaldkonna tegevustoetused (SA Eesti Filmi Instituut, Pimedate Ööde Filmifestival, Tallinnfilm)</t>
  </si>
  <si>
    <t xml:space="preserve">Läbi avatud taotlusvooru (toetuse andmise tingimused kinnitatud ministri määruse alusel) antud sihtotstarbeliste toetuste jääk. Toetuste tekkepõhine kasutamine on osaliselt lükkunud 2025. aastasse, kuid toetusotsused on tehtud 2024. aastal. Ettemaks 353 574 eurot.  Lepingu pikendamine 2025. aasta lõpuni. </t>
  </si>
  <si>
    <t>Välja jagamata toetus summas 15 626 eurot tõstetud etendusasutuste remondifondi alla, kus vahendite vajadus suur.</t>
  </si>
  <si>
    <t>Valitsemisala remondifondist antud sihtotstarbeliste toetuste jääk. Teatri lavaruumi remont on tehnilistel põhjustel lükkunud 2025. aastasse. Ehitus- ja projekteerimishange kuulutatakse välja jaanuari 3. nädalal. Tegemist ülikeerulise tööga, loodetavasti teostatakse töö ilma lavatorni katust eemaldamata. Tööde teostamise aeg 22.05.2025-07.07.2025.</t>
  </si>
  <si>
    <t>Valitsemisala remondifondist antud sihtotstarbeliste toetuste jääk. Tööd lükkuvad osaliselt 2025. aastasse, ATS süsteemi ehituse jätkamine.</t>
  </si>
  <si>
    <t>Üle ei kanta</t>
  </si>
  <si>
    <t>Väikeses summas lükkusid laenutus- ja reprograafiahüvitiste maksed 2025. aastasse.</t>
  </si>
  <si>
    <t xml:space="preserve">Bologna 2025 rahvusvahelise raamatumessi peakülalise näituse ettevalmistamisega seotud kulud lükkusid edasi 2025. aastasse ning keskuse ekspositsioonide uuendamisega seotud ideekonkurss 2025. aastasse. </t>
  </si>
  <si>
    <t xml:space="preserve">2024.a infotehnoloogia investeeringud olid kavandatud Taotluste menetlemise infosüsteemi ning Eesti Laulu- ja Tantsupeo SA (ELTSA) ja Eesti Rahvakultuuri Keskuse (RAKU) ühise andmekogu arendustööde teostamiseks. Taotluste menetlemise infosüsteemi arendustööd said suures ulatuses teostatud, kuid ELTSA-RAKU andmekogu arendustööde valmimine (etapp VI) lükkus edasi 2025 aastasse tulenevalt arenduspartneri jõudlusest. Tööd jätkuvad käesoleval aastal ja on kaetud hankelepinguga. </t>
  </si>
  <si>
    <t>Vahendeid kasutatakse "Kultuuripärandi digitegevuskava 2024-2029" ja KuM digipöörde projektide elluviimise toetamiseks (asutuste arendusprojektid, kultuuripärandi digiteerimine, analüüsid, koolituste ja seminaride korraldamine, projekte ettevalmistavad tegevused) ning Digitaalse Kultuuripärandi Nõukogu tööga seotud tegevusteks (nõukogu liikmete töötasu, vajadusel ekspertide kaasamine). Digitegevuskava ja KuM digipöörde projekte rahastatakse suuresti Justiits- ja Digiministeeriumi (varem Majandus- ja Kommunikatsiooniministeeriumi) kaudu Euroopa Liidu fondidest. 2024. aastal kinnitati rahastusotsused alles aasta teises pooles ning projektidega alustati hilisemalt, kui oli planeeritud. Seega jäi kasutamata 2024. aastal projektide elluviimise toetamiseks mõeldud rahastus.</t>
  </si>
  <si>
    <t>Jääk sisaldab sihtotstarbelist toetust, mille tekkepõhine kasutamine on osaliselt lükkunud 2025. aastasse, kuid toetusotsused on tehtud 2024. aastal. Jätkub kunstnike palkade maksmine.</t>
  </si>
  <si>
    <t>Riigi kultuuripreemiad ja -stipendiumid</t>
  </si>
  <si>
    <t>Tagastada VV reservi. Sihtotstarbeliselt antud toetuse jäägi tagasikanne toetuse andjale.</t>
  </si>
  <si>
    <t>Jääk sisaldab sihtotstarbelist toetust, IKT küberturvalisuse kulude katmine jätkub 2025. aastal.</t>
  </si>
  <si>
    <t>Üle ei kanna, tegemist 2023.a. jäägiga. Sihtotstarbeliselt antud toetuse jäägi tagasikanne toetuse andjale.</t>
  </si>
  <si>
    <t>Jääk sisaldab sihtotstarbelisi toetusi, mille tekkepõhine kasutamine on osaliselt lükkunud 2025. aastasse, kuid toetusotsused on tehtud 2024. aastal.</t>
  </si>
  <si>
    <t>Küttesüsteemi remont ( õhk-vesi süsteemi asenadmine maaküttega) lükkus osalislt 2025. aastasse, limiit avanes 2024.a. lõpus (seaduse muudatus). Hange kuulutati välja pärast kohalikult omavalitsuselt ehitusloa saamist. Projekti lõppkuupäevaks on 31.08.2025</t>
  </si>
  <si>
    <t>Jääk on kavandatud infrapunaspektroskoop The compact ALPHA II Polymer Analyzer soetuseks. Seade on vajalik sünteetiliste materjalide konserveerimisel. Investeringu limiit avati seaduse muudatusega detsembris 2024. Hanke ettevalmistus tehtud, hange toimub 2025.</t>
  </si>
  <si>
    <t xml:space="preserve"> Toetus eraldatud novembris 2024. Tööd lükkuvad edasi, kuna hanke tulemusel selgus, et Saaremaa muuseum peab algselt kavandatust rohkem panustama (tööde kogumaksumus on 222 173, 39 EUR ilma km). SA Saaremaa Muuseumi nõukogu toimus 13.12.2024 ja muuseum sai loa ehitustöödega edasi minna. Ehitusettevõttega sõlmiti leping 27. detsember 2024. Tööd algavad 13. jaanuaril 2025 ja lõpevad 27. aprillil 2025.</t>
  </si>
  <si>
    <t>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2021. a otsused.  Koosneb kahe taotluse summadest (Uue-Kariste toetus ja Kolga Mõisa peahoone toetus), projekte on pikendatud, aruanded kontrollis.</t>
  </si>
  <si>
    <t>2023. aasta jääk, tagastada VV reservi. Jäägi põhjuseks on tööde tegemise nihkumine.</t>
  </si>
  <si>
    <t>2025. aastal jätkub muinsuskaitse, muuseumide ja raamatukogunduse valdkonnaüleste partnerorganisatsioonide tegevustoetus.</t>
  </si>
  <si>
    <t>2025. aastal jätkub muuseumide sihtotstarbeline toetamine. Jääk on kavandatud ka riigimuuseumide ümberkorraldamisega sihtasutusteks seotud kulude katmisega. Ümberkorraldamine on kujunenud keerukamaks ja aeganõudvamaks, mistõttu on ka kulude tegemine nihkunud.</t>
  </si>
  <si>
    <t>Eesti ajaloolise taluarhitektuuri toetusprogramm 2025. aastal ei jätku. Jääk 94 389,88 eurot tõstetud reale "Muuseumide kiirendi" kus toetuste vajadus suur.</t>
  </si>
  <si>
    <t>Leiutasude maksmise kohustus 2025 aasta alguses. Väljamaksete kohustus suurem kui 2025. aastasse planeeritud eelarve.</t>
  </si>
  <si>
    <t>Halduslepingute tasud, pärandivaderid</t>
  </si>
  <si>
    <t>Eelarverea kasutamata jääk 26 019,34 eurot tõstetud reale "Muuseumide kiirendi" kus toetuste vajadus suur.</t>
  </si>
  <si>
    <t>Muusikakonkursid, muusikafestivalid ja suursündmused, eraldised institutsioonide toetamiseks, Veljo Tormise Kultuuriseltsi tegevustoetus</t>
  </si>
  <si>
    <t xml:space="preserve">Jääk sisaldab sihtotstarbelisi toetusi, mille tekkepõhine kasutamine on osaliselt lükkunud 2025. aastasse, kuid toetusotsused on tehtud 2024. aastal. 2025. aastal jätkub institutsioonide sihtotstarbeline toetamine. </t>
  </si>
  <si>
    <t xml:space="preserve">Jääk sisaldab sihtotstarbeliste toetusi, mille tekkepõhine kasutamine on osaliselt lükkunud 2025. aastasse, toetusotsused on tehtud 2024. aastal. 2025. aastal jätkub institutsioonide sihtotstarbeline toetamine. </t>
  </si>
  <si>
    <t>Kasutamata jääk eraldatakse 2025. aastal spordistipendiumiks.</t>
  </si>
  <si>
    <t>Osa planeeritud toetusest jäi välja maksmata (toetuse saajad loobusid toetusest) või nõuti tagasi, sest toetuse saaja ei vastanud meetme tingimustele. Kasutatakse 2025. aastal sama meetme raames toetuste eraldamiseks.</t>
  </si>
  <si>
    <t>Seoses multifunktsionaalse halli hanke hilinemisega lükkus tööde teostamine, halli valmimine ja arvete tasumine 2025. aastasse. Kasutatakse halli rajamiseks 2025. aastal</t>
  </si>
  <si>
    <t xml:space="preserve">Jääk on kavandatud aasta jooksul tekkivate ühekordsete kiireloomuliste tööde teostamiseks spordikeskustes. </t>
  </si>
  <si>
    <t xml:space="preserve">Arhitektuuri ja disaini arendusprojektide jääki kasutatakse 2025. aasta projektide kuludeks. Jääk sisaldab antud toetuste tagasikandeid, mis liidetakse jooksva aasta taotlusvooruga. </t>
  </si>
  <si>
    <t>Valitsemisala remondifond, taristu investeeringutoetused</t>
  </si>
  <si>
    <t>Jääki kasutatakse 2025. aasta rahvusvaheliste liikmemaksude tasumiseks, samutisuurenevad osade liikmemaksude summad iga-aastaselt (UNESCO).</t>
  </si>
  <si>
    <t>Välisriikides tegutsevate kultuuriesindajate tegevuskulud</t>
  </si>
  <si>
    <t>Lõimumisvaldkonna tegevuskulud</t>
  </si>
  <si>
    <t>2024. aasta riigieelarve jäägid (eelmine eelarveaasta)</t>
  </si>
  <si>
    <t>Lõimumisvaldkonna sündmused ja tegevused</t>
  </si>
  <si>
    <t>Vahendid reservist eraldati mais 2024. Partneriga lepingu sõlmimine viibis, mistõttu lükkus tegevuste elluviimine 2025. aastasse.</t>
  </si>
  <si>
    <t>Vahendid reservist eraldati mais 2024. PPA prognoos ajutise kaitse saajate arvu osas ei täitunud. Leping Expat Relocationiga on pikendatud kuni 31.03.25.</t>
  </si>
  <si>
    <t>Avatud taotlusvooruga antud sihtotstarbelised toetused, mille kulud on osaliselt  2025. aastal.</t>
  </si>
  <si>
    <t>Eesti Rahvusraamatukogu hoone renoveerimistööd jätkuvad 2025. aastal. Nii pika-ajalise investeeringu puhul on keeruline aastate vahelist jaotust täpselt prognoosida.</t>
  </si>
  <si>
    <t>Vahendid reservist eraldati mais 2024. Reservist taotlemine, vahendite eraldamine ja teenuse ost (riigihanke läbiviimne) võttis plaanitust kauem aega, sestap ei olnud võimalik kasutata kõiki sihtrühmale (rahvusvahelise kaitse saajnud isikud) suunatud vahendeid 2024. aastal.  Tegevused jätkuvad (st kohanemisprogrammi pakutakse) kuni 2025.a lõpuni</t>
  </si>
  <si>
    <t>PPA prognoos sõjapõgenike (ajutise kaitse saajad) osas ei täitunud. Riigihankgete korraldamisel oli hindamiskriteeriumiks madalaim hind - teenuse maksumus osutus plaanitust soodsamaks. Jääk tagastatakse sihtotstarbelisse reservi</t>
  </si>
  <si>
    <t>Vahendid reservist eraldati mais 2024. Reservist taotlemine, vahendite eraldamine ja teenuse ost (riigihanke läbiviimne) võttis plaanitust kauem aega, sestap ei olnud võimalik kasutata kõiki sihtrühmale (rahvusvahelise kaitse saajnud isikud) suunatud vahendied 2024. aastal.  Tegevused jätkuvad (st keeleõpe tasemel A1) kuni 2025.a lõpuni</t>
  </si>
  <si>
    <t>Vahendid reservist eraldati mais 2024. Seoses rahvusvahelise kaitse saajate kohanemisprogrammi, sh keeleõppe hangete menetlemisega seotud halduskulud lükkusid edasi, vahendeid kasutatakse 2025.a</t>
  </si>
  <si>
    <t>Tegelikud kulud kujunesid planeeritutest väiksemaks. Tagastada 2023. aasta jääk sihtotstarbelisse reservi.</t>
  </si>
  <si>
    <t>Industry @ Tallinn &amp; Baltic Event 2024 - BMO OÜ</t>
  </si>
  <si>
    <t>Kirjandusvaldkonna tegevustoetused (SA kultuurileht, Eesti Kirjanike Liit kirjaniku palk, Eesti Kirjastuste Liit, Eesti Kirjanduse Teabekeskus)</t>
  </si>
  <si>
    <t>Jääk sisaldab sihtotstarbelist toetust, mille tekkepõhine kasutamine on osaliselt lükkunud 2025. aastasse, toetusotsus on tehtud 2024. aastal.</t>
  </si>
  <si>
    <t>Tegemist kultuuristipendiumide jäägiga, taotlusi laekus planeeritud vähem. 2025. aastal jätkatakse kultuuristipendiumide maksmist. Tulenevalt planeerimistasandite muudatusest ei ole 2025. aastal enam eraldi programmi tegevust "Loovisikute toetamine ja tunnustamine" ning jääk tõstetakse programmi tegevuse "Kultuuri valdkondadeülene tugi- ja arendustegevus".</t>
  </si>
  <si>
    <t>Jääk sisaldab sihtotstarbelisi toetusi, mille tekkepõhine kasutamine on osaliselt lükkunud 2025. aastasse, toetusotsused on tehtud 2024. aastal. 2025. aastal jätkub muuseumide sihtotstarbeline toetamine.</t>
  </si>
  <si>
    <t>Muusikavaldkonna organisatsioonide tegevustoetus (riigi sihtasutused, Eesti Festivaliorkester, Eesti Pärimusmuusika Keskus, Arvo Pärdi Keskus, Eesti Gregoriaani Ühing, Eesti Muusika Infokeskus, Music Estonia jm)</t>
  </si>
  <si>
    <t>Jääk sisaldab sihtotstarbelisi toetusi, mille tekkepõhine kasutamine on osaliselt lükkunud 2025. aastasse, toetusotsused on tehtud 2024. aastal.</t>
  </si>
  <si>
    <t>Tagasipöördujate toetuse taotlejate arv on vähenenud, seetõttu 2024 aasta jääki üle ei kanna. 2025 aastal  vähendasime taotlusvooru mahtu</t>
  </si>
  <si>
    <t>Sihtotstarbeliselt antud toetuse jäägi tagasikanne toetuse andjale. 2023 aasta jääk tagastatkse sihtototstarbelisse reservi.</t>
  </si>
  <si>
    <t xml:space="preserve">Toetuse eraldamine sõltub otseselt tiitlivõistlustelt võidetud medalitest. Kuna Pariisi olümpiamängudelt medalit ei võidetud, siis tekkis ka jääk. 2025. aastsal on võrreldes 2024. aastaga rohkem tiitlivõistlusi. 2024. a jääki saab kasutada 2025. a tiitlivõistlustel osalevate sportlaste ja treneerite premeerimiseks, kui vajadus peaks tekkima. </t>
  </si>
  <si>
    <t>Eelarverea jääk tekkis toetuste tagasikannetest. Kuna 2025. aastal on toimub XXVIII laulu- ja tantsupidu, siis on eeldus, et kollektiivid vajavad suuremat toetust, mistõttu 2024. a jäägi võrra suurendatakse 2025. a avatud taotlusvooru mahtu.</t>
  </si>
  <si>
    <t>2024. aasta taotlusi ei laekunud vastavalt prognoositule. Jääki kasutatakse LTP kollektiivide juhtide 2025. palgatoetuseks, sest taotluste arv seoses XXVIII laulu- ja tanstupeo toimumisega on kasvanud.</t>
  </si>
  <si>
    <t>Jääk tekkinud 2024. a avatud taotlusvoorust eraldatud toetuste tagasikannetest. Jääk liidetakse 2025. a taotlusvooru mahuga.</t>
  </si>
  <si>
    <t>Jääk tekkinud 2024. a avatud taotlusvoorust eraldatud toetuste tagasikannetest ja väikeses mahus toetuste kasutamise lükkumisest 2025. aastasse. Tagasikannete maht liidetakse 2025. a taotlusvooru mahuga.</t>
  </si>
  <si>
    <r>
      <t>Valitsemisala remondifondi jääk sisaldab sihtotstarbelisi toetusi, mille tekkepõhine kasutamine on lükkunud 2025. aastasse, toetusotsused on tehtud 2024. aastal. 2025. aastal jätkub valitsemisala asutuste avarii-remonttööde sihtotstarbeline toetamine.</t>
    </r>
    <r>
      <rPr>
        <sz val="11"/>
        <color rgb="FFFF0000"/>
        <rFont val="Calibri"/>
        <family val="2"/>
        <charset val="186"/>
        <scheme val="minor"/>
      </rPr>
      <t xml:space="preserve"> </t>
    </r>
    <r>
      <rPr>
        <sz val="11"/>
        <rFont val="Calibri"/>
        <family val="2"/>
        <charset val="186"/>
        <scheme val="minor"/>
      </rPr>
      <t>KUM valitsemisala asutuste (sh sihtasutused, avalik-õiguslikud juriidilised isikud) kinnisvaraportfell on suur, mistõttu on ka remonfifondist antavate toetuste vajadus on suur.</t>
    </r>
  </si>
  <si>
    <t xml:space="preserve">Jääk sisaldab läbi avatud taotlusvooru antud toetusi teadus- ja arendusprojektidele. Kuna  teadus- ja arendusprojekte ei ole võimalik reeglina ühe kalendriaasta jooksul ellu viia, siis kõikide toetuste  tekkepõhine kasutamine toimub 2025. aasta lõpuni. Avatud taotlusvooru viib läbi SA Eesti Teadusagentuur ja kõik toetusotsused tehti 2024. aastal. </t>
  </si>
  <si>
    <t>2023. aasta jääk, üle ei kanta. Jäägi moodustavad antud toetuste jääkide tagasikanded.</t>
  </si>
  <si>
    <t>Planeeritud IKT projekte ei suudetud 2024. a jooksul ellu viia. Jätkuvad mitmed erinevad IKT arendusprojektid: KuM valitsemisala juhtimistöölaua edasi arendamine valdkonna üleseks teenuseks (raamatukogude valdkonna I etapp teostatud),  etendusasutuste planeerimise tarkvara tehnoloogia uuendamine ning jätkuarendused, jätkatakse SA Kultuurilehe väljaannete migratsioonitööde läbiviimisega vanast keskkonnast uuele platvormile (I etapp sisaldas 3 ajakirja migratsiooni 15-st), jätkatakse valitsemisala asutuste arvutitöökoha teenuse (ATK) üleviimisega riigi kesksele ATK teenusele (tööd on edasi lükkunud tulenevalt RIT-i vähesest võimekusest), valitsemisala  andmekogude ja infosüsteemide jätkuarenduste ning erinevate ärianalüüside läbiviimise toetamine (edasiste arendusprojektide eeltingimus).</t>
  </si>
  <si>
    <t>Kvaliteedilävendi ületanud projektide väikese arvu tõttu jäänud taotlusvooru väljajagamata jääk. Tagastatakse VV reservi.</t>
  </si>
  <si>
    <t>2023. aasta jääk, tagastatakse VV reservi. Sihtotstarbeliselt antud toetuse jäägi tagasikanne toetuse andjale.</t>
  </si>
  <si>
    <t xml:space="preserve">Läbi avatud taotlusvooru (toetuse andmise tingimused kinnitatud ministri määruse alusel) määratud ja välja makstud sihtotstarbeliste toetuste jääk filmide tootmiseks. Toetuste tekkepõhine kasutamine on osaliselt lükkunud 2025. aastasse, sest filmitootmine on reeglina pikem kui üks kalendriaasta. Toetusotsuste tegemisel on väga keeruline planeerida kulude jaotumist aastate vahel. </t>
  </si>
  <si>
    <r>
      <rPr>
        <sz val="11"/>
        <rFont val="Calibri"/>
        <family val="2"/>
        <charset val="186"/>
        <scheme val="minor"/>
      </rPr>
      <t>Investeeringuid vajadus väiksem kui planeeriti,  jääk tagastatakse sihtotstarbelisse reservi</t>
    </r>
    <r>
      <rPr>
        <sz val="11"/>
        <color rgb="FFFF0000"/>
        <rFont val="Calibri"/>
        <family val="2"/>
        <charset val="186"/>
        <scheme val="minor"/>
      </rPr>
      <t>.</t>
    </r>
  </si>
  <si>
    <t>Taotlusvooru toetatud projektide tegelik kulu oli väiksem. 2023. aasta jääk tagastatakse  sihtotstarbelisse reservi.</t>
  </si>
  <si>
    <t>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Antud 3 mln eurot eraldati KUM valitsemisala eelarvesse (Muinsuskaitseametile) alles 2024 detsembris,mistõttu ei olnudki võimalik teha ei toetusotsuseid rääkimata raha kasutamisest 2024. aastal. Toetusotsused tehake 2025 aastal.</t>
  </si>
  <si>
    <t>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Toetuste kasutamise abikõlblikkuse periood on kuni 31.12.2025.</t>
  </si>
  <si>
    <t>Raha eraldamine omandireformi reservfondist on sihtotstarbeline ja eraldatud vahendite kasutamise tingimused on kindlaks määratud Vabariigi Valitsuse korraldustega. Vahendeid kasutatakse kuni Vabariigi Valitsuse korraldustes kehtestatud tähtaegade saabumiseni või kuni korralduses sätestatud tegevuste lõpetamiseni.  Toetuste abikõlblikkuse perioodi on pikendatud 2025. aasta lõpuni, sest toetusi kasutatakse tihti spetsiifiliste ehitustööde elluviimiseks, kuid mis polele võimalik ühe kalendriaasta sees.</t>
  </si>
  <si>
    <t>Osad ühekordsed majandustehingud nihkusid 2025. aasta algusesse (sh.hangete tõttu). Lisaks tekkis jääk põhjusel, et kõik töökohad polnud 100% täidetud aastaringselt.  Muinsuskaitseamet on kavandanud jääkide arvelt tegevusi juba  2025a. algusesse. 2024 sügisel planeerides 2025 aasta eelarvet optimeeriti ka 2024 kulusid, et 2025 tegevusmahud ei langeks drastiliselt (kärpe tõttu) ja Muinsuskaitseamet saaks planeeritud tegevusi ellu viia.</t>
  </si>
  <si>
    <t xml:space="preserve">Jääk sisaldab sihtotstarbelisi toetusi, mille tekkepõhine kasutamine on osaliselt lükkunud 2025. aastasse, toetusotsused on tehtud 2024. aastal (aruanded laekuvad 2025. aastal). Toetusi eraldatakse ehitustöödeks, mille teostumine tihti ühe kalendriaasta sees pole võimalik. </t>
  </si>
  <si>
    <t>Jääk sisaldab sihtotstarbelisi toetusi, mille tekkepõhine kasutamine on osaliselt lükkunud 2025. aastasse, toetusotsused on tehtud 2024. aastal. Lisaks kõik planeeritud ühekordsed projektid ei realiseerunud eelmisel aastal ning osad toetuse saajad kandsid toetuse tagasi.  2025. aastal jätkub spordi suurvõistluste toetamine.</t>
  </si>
  <si>
    <t>Kastre VV viis projektis kavandatud tegevused ellu odavamalt, Kehtna ja Tõrva on jätnud toetuse kasutamata, mistõttu esitati tagasinõue. Taotlusvooru tingimustele osaliselt mitte vastavuse tõttu tagastas toetuse saaja toetuse osaliselt. Jääk sisaldab ka sihtotstarbelisi toetusi, mille tekkepõhine kasutamine on osaliselt lükkunud 2025. aastasse, kuid toetusotsused on tehtud 2024. aastal.  Taotlusvooru jääk  40843,54 eurot suunatakse liikumisharrastuse edendamise reformi elluviimiseks. Kasutatakse ühekordsete liikumisharrastuse edendamise projektide elluviimiseks.</t>
  </si>
  <si>
    <t>Põhja-Läänemaa Turismi- ja Spordiobjektide Halduskeskus SA rajas hoone odavamalt, kui algselt planeeriti, mistõttu läks paigast ära ka vähemalt 25% omaosaluse nõue.  Jääk summas 16 112,97 eurot suunatakse liikumisharrastuse edendamise reformi elluviimise reale. Kasutada ühekordsete liikumisharrastuse edendamise projektide elluviimiseks.</t>
  </si>
  <si>
    <t>Taotlusvooru tingimustele osaliselt mitte vastavuse tõttu tagastas toetuse saaja toetuse osaliselt.Taotlusvooru jääk 2757,96 eurot suunatakse liikumisharrastuse edendamise reformi elluviimiseks. Kasutatakse ühekordsete liikumisharrastuse edendamise projektide elluviimiseks.</t>
  </si>
  <si>
    <t>Pereõppe planeeritud vahendeid täismahus ei vajatud . Tegevusi 2025.a alates ei toimu. Suuname vahendid 32 tuh eurot kohanemisprogrammi kursustele registreerimise infosüsteemi ülalhoiu kuludeks ning 9924 eurot ettenägematute sündmuste toetamiseks.</t>
  </si>
  <si>
    <t>Rahvusvähemuste kultuuriühingute toetamiseks planeeritud vahendeid ei vajatud täismahus. Suuname vahendid 23 108,23 eurot eelarvereale lõimumisvaldkonna sündmused ja tegevused ettenägematute projektide toetamiseks.</t>
  </si>
  <si>
    <t>Rahvusvähemuste katusorghanisatsioonide toetuseks planeeritud vahendeid ei vajatud täismahus. Suuname vahendid 307,88 eurot lõimumisvaldkonna projektideks.</t>
  </si>
  <si>
    <t xml:space="preserve">Lõimumist edendavate kultuuri- ja sporditegevuste toetamiseks planeeritud vahendeid ei kasutatud  täismahus. Suuname vahendid 5343,78 eurot lõimumisvaldkonna ettenägematute sündmuste toetamiseks. </t>
  </si>
  <si>
    <t>Tegemist on edasintava toetuse jäägiga, toetuse saajad ei kasutanud toetust täies mahus või on tekkinud raha tagastamisnõe. Suuname vahendid 5496,08 eurot lõimumisvaldkonna ettenägematute sündmuste toetamiseks.</t>
  </si>
  <si>
    <t>Tegemist on edasiantava toetuse jäägiga, toetuse saajad ei kasutanud toetust täies mahus või on tekkinud raha tagastamisnõe. Tegevus enam ei jätku, suuname vahendid 36 105,05 eurot ettenägematute projektide toetamiseks lõimumisvaldkonnas.</t>
  </si>
  <si>
    <t>Jääk sisaldab sihtotstarbelisi toetusi, mille tekkepõhine kasutamine on osaliselt lükkunud 2025. aastasse, toetusotsused on tehtud 2024. aastal. 2025. aastal jätkub lõimumisvaldkonna projektide toetamine.</t>
  </si>
  <si>
    <t>Jääk on kavandatud 2025. aastal ühekordsete tegevuste elluviimiseks. Majanduslik sisu majandamiskulud.</t>
  </si>
  <si>
    <t>Kohanemisprogrammi kursustele registreerimise infosüsteemi ülalhoiu kuludeks. Katteallikas pereõppe partnerorganisatsioonide toetamine, mille vahendeid planeeritud mahus ei vajatud. Majanduslik sisu majandamiskulud.</t>
  </si>
  <si>
    <t>2024. aasta jääk on tekkinud suuremahuliste vaimse kultuuripärandi Eesti nimistu (VAKU) ja rahvakultuuri andmekogu (RAKU) IT arenduste ja prgrammide uuringute ärajäämise tõttu ning on kavandatud 2025. aastasse. Jääk jaguneb personalikuludeks summas 16 200 eurot ja majanduskuludeks summas 270 644,86 eurot.</t>
  </si>
  <si>
    <t>Rahvakultuuri valdkonna arendusprojektid</t>
  </si>
  <si>
    <t>Rahvakultuuri valdkonna taotlusvoorud</t>
  </si>
  <si>
    <t>Jääkide 2025. aastasse üle viimine (käesolev eelarveaasta)</t>
  </si>
  <si>
    <t>Jääk on kavandatud Veneetsia Arhitektuuribiennaali Eesti väljapaneku 2025 kuludeks, projekti kulud on kahe aastased. Majanduslik sisu majanduskulud.</t>
  </si>
  <si>
    <t>Tööjõukuludest tekkinud jääk 8282 eurot kogunes töötajate haiguslehel oldud aja eest, mil töötasu ei maksta.  Jääk on kavandatud 2025. a. keeletehnoloogia arendamiseks. Majanduskulude jääk1928,39 eurot on kavandatud ohtlike puude langetamiseks Mõniste muuseumis ja 5-e väga ohtliku puu langetamiseks Kreutzwaldi muuseumis ning aia remondiks.</t>
  </si>
  <si>
    <t>2024. aasta jääk on kavandatud 2025. aasta põhitegevuse majanduskulude katteks (kassamüügi süsteemi hankimine, juurutamine).</t>
  </si>
  <si>
    <t>Üldine kulude kokkuhoid, jääki kasutatakse 2025.a. hinnatõusudest tulenevate teenuste eest tasumiseks (majanduskulud).</t>
  </si>
  <si>
    <t>Jääk on kavandatud 2025. aastal komisjonide tasudeks (tööjõukulud).</t>
  </si>
  <si>
    <t>Selgitus</t>
  </si>
  <si>
    <t>Tartu Kunstimuuseum tegevustoetus</t>
  </si>
  <si>
    <t>Eesti Tarbekunsti- ja Disainimuuseum tegevustoetus</t>
  </si>
  <si>
    <t xml:space="preserve"> Majandamiskulude jäägi tekkimise põhjuseks oli kulude kokkuhoid, aga ka mitmete tellitud uuringutega seotud kulude lükkumine 2025. aastasse. Sisseostetavate ühekordsete teenuste elluviimist takistavad reeglina probleemid hangete läbiviimisel. 2025 ja edasiste aastate ministeeriumi tegevuskulusid vähendati tulenevalt kärpekohustusest, seega osaliselt saab jääki kasutada ühekordsete kulude katteks, kuid üldiselt kokkuhoiuga jätkatakse. Jätkuvad valitsemisala IKT valdkonna toimemudeli analüüsitööd, Eesti infoturbestandardi rakendamise auditi läbiviimine, keskse majutusteenuse hanke läbiviimine tulenevalt mahtude suurenemisest, Toetuste menetlemissüsteemi hooldus ja majutusteenuse hanke läbiviimine, ministeeriumi andmekogude ja infosüsteemide jätkuarenduste teostamine (siseveebi uuendamine, LLA jt). Personalikulude jääk tuleneb töötajate liikumisest. Aasta sees oli mitmeid ametikohti täitmata (näiteks terve aasta loomingu asekantsleri ametikoht). Tulenevalt majanduslikust sisust jaguneb jääk personalikuludeks summas 510 075 eurot ja majanduskuludeks 820 440 eurot.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</si>
</sst>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186"/>
      <scheme val="minor"/>
    </font>
    <font>
      <sz val="11"/>
      <color theme="1"/>
      <name val="Calibri"/>
      <family val="2"/>
      <charset val="186"/>
      <scheme val="minor"/>
    </font>
    <font>
      <sz val="9"/>
      <color theme="1"/>
      <name val="Times New Roman"/>
      <family val="1"/>
      <charset val="186"/>
    </font>
    <font>
      <sz val="10"/>
      <name val="Arial"/>
      <family val="2"/>
      <charset val="186"/>
    </font>
    <font>
      <b/>
      <sz val="9"/>
      <color theme="1"/>
      <name val="Times New Roman"/>
      <family val="1"/>
      <charset val="186"/>
    </font>
    <font>
      <b/>
      <sz val="9"/>
      <name val="Times New Roman"/>
      <family val="1"/>
      <charset val="186"/>
    </font>
    <font>
      <sz val="9"/>
      <name val="Times New Roman"/>
      <family val="1"/>
      <charset val="186"/>
    </font>
    <font>
      <sz val="11"/>
      <color indexed="8"/>
      <name val="Calibri"/>
      <family val="2"/>
      <scheme val="minor"/>
    </font>
    <font>
      <i/>
      <sz val="8"/>
      <name val="Times New Roman"/>
      <family val="1"/>
      <charset val="186"/>
    </font>
    <font>
      <b/>
      <sz val="11"/>
      <color theme="1"/>
      <name val="Times New Roman"/>
      <family val="1"/>
      <charset val="186"/>
    </font>
    <font>
      <b/>
      <sz val="11"/>
      <name val="Times New Roman"/>
      <family val="1"/>
      <charset val="186"/>
    </font>
    <font>
      <sz val="11"/>
      <name val="Calibri"/>
      <family val="2"/>
      <charset val="186"/>
      <scheme val="minor"/>
    </font>
    <font>
      <b/>
      <sz val="12"/>
      <name val="Times New Roman"/>
      <family val="1"/>
      <charset val="186"/>
    </font>
    <font>
      <sz val="12"/>
      <name val="Times New Roman"/>
      <family val="1"/>
      <charset val="186"/>
    </font>
    <font>
      <sz val="11"/>
      <color rgb="FFFF0000"/>
      <name val="Calibri"/>
      <family val="2"/>
      <charset val="186"/>
      <scheme val="minor"/>
    </font>
    <font>
      <b/>
      <sz val="10"/>
      <color rgb="FFFF0000"/>
      <name val="Calibri"/>
      <family val="2"/>
      <charset val="186"/>
      <scheme val="minor"/>
    </font>
    <font>
      <sz val="11"/>
      <color rgb="FF0070C0"/>
      <name val="Calibri"/>
      <family val="2"/>
      <charset val="186"/>
      <scheme val="minor"/>
    </font>
    <font>
      <sz val="8"/>
      <color theme="1"/>
      <name val="Times New Roman"/>
      <family val="1"/>
      <charset val="186"/>
    </font>
    <font>
      <b/>
      <sz val="11"/>
      <color rgb="FFFF0000"/>
      <name val="Calibri"/>
      <family val="2"/>
      <charset val="186"/>
      <scheme val="minor"/>
    </font>
    <font>
      <sz val="11"/>
      <name val="Times New Roman"/>
      <family val="1"/>
      <charset val="186"/>
    </font>
    <font>
      <i/>
      <sz val="11"/>
      <name val="Times New Roman"/>
      <family val="1"/>
      <charset val="186"/>
    </font>
    <font>
      <u/>
      <sz val="11"/>
      <color theme="10"/>
      <name val="Calibri"/>
      <family val="2"/>
      <charset val="186"/>
      <scheme val="minor"/>
    </font>
  </fonts>
  <fills count="10">
    <fill>
      <patternFill patternType="none"/>
    </fill>
    <fill>
      <patternFill patternType="gray125"/>
    </fill>
    <fill>
      <patternFill patternType="solid">
        <fgColor rgb="FF00B0F0"/>
        <bgColor indexed="64"/>
      </patternFill>
    </fill>
    <fill>
      <patternFill patternType="solid">
        <fgColor theme="5" tint="0.39997558519241921"/>
        <bgColor indexed="64"/>
      </patternFill>
    </fill>
    <fill>
      <patternFill patternType="solid">
        <fgColor theme="4" tint="0.39997558519241921"/>
        <bgColor indexed="65"/>
      </patternFill>
    </fill>
    <fill>
      <patternFill patternType="solid">
        <fgColor rgb="FF00B050"/>
        <bgColor indexed="64"/>
      </patternFill>
    </fill>
    <fill>
      <patternFill patternType="solid">
        <fgColor theme="4" tint="0.39997558519241921"/>
        <bgColor indexed="64"/>
      </patternFill>
    </fill>
    <fill>
      <patternFill patternType="solid">
        <fgColor theme="7" tint="0.39997558519241921"/>
        <bgColor indexed="64"/>
      </patternFill>
    </fill>
    <fill>
      <patternFill patternType="solid">
        <fgColor rgb="FFD096C8"/>
        <bgColor indexed="64"/>
      </patternFill>
    </fill>
    <fill>
      <patternFill patternType="solid">
        <fgColor rgb="FFFFFF00"/>
        <bgColor indexed="64"/>
      </patternFill>
    </fill>
  </fills>
  <borders count="15">
    <border>
      <left/>
      <right/>
      <top/>
      <bottom/>
      <diagonal/>
    </border>
    <border>
      <left style="thin">
        <color indexed="64"/>
      </left>
      <right style="thin">
        <color indexed="64"/>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5">
    <xf numFmtId="0" fontId="0" fillId="0" borderId="0"/>
    <xf numFmtId="0" fontId="1" fillId="0" borderId="0"/>
    <xf numFmtId="0" fontId="3" fillId="0" borderId="0"/>
    <xf numFmtId="0" fontId="7" fillId="0" borderId="0"/>
    <xf numFmtId="0" fontId="21" fillId="0" borderId="0" applyNumberFormat="0" applyFill="0" applyBorder="0" applyAlignment="0" applyProtection="0"/>
  </cellStyleXfs>
  <cellXfs count="87">
    <xf numFmtId="0" fontId="0" fillId="0" borderId="0" xfId="0"/>
    <xf numFmtId="0" fontId="2" fillId="0" borderId="0" xfId="0" applyFont="1" applyAlignment="1">
      <alignment vertical="top"/>
    </xf>
    <xf numFmtId="0" fontId="4" fillId="0" borderId="0" xfId="0" applyFont="1" applyAlignment="1">
      <alignment horizontal="left" vertical="top"/>
    </xf>
    <xf numFmtId="0" fontId="2" fillId="0" borderId="0" xfId="0" applyFont="1" applyAlignment="1">
      <alignment horizontal="left" vertical="top" indent="2"/>
    </xf>
    <xf numFmtId="0" fontId="6" fillId="0" borderId="0" xfId="0" applyFont="1" applyAlignment="1">
      <alignment vertical="top"/>
    </xf>
    <xf numFmtId="0" fontId="9" fillId="0" borderId="0" xfId="3" applyFont="1"/>
    <xf numFmtId="0" fontId="8" fillId="0" borderId="0" xfId="0" applyFont="1" applyAlignment="1">
      <alignment horizontal="right" vertical="top"/>
    </xf>
    <xf numFmtId="0" fontId="0" fillId="0" borderId="1" xfId="0" applyBorder="1"/>
    <xf numFmtId="0" fontId="10" fillId="4" borderId="7" xfId="0" applyFont="1" applyFill="1" applyBorder="1" applyAlignment="1">
      <alignment vertical="center" wrapText="1"/>
    </xf>
    <xf numFmtId="0" fontId="10" fillId="4" borderId="8" xfId="0" applyFont="1" applyFill="1" applyBorder="1" applyAlignment="1">
      <alignment vertical="center" wrapText="1"/>
    </xf>
    <xf numFmtId="0" fontId="10" fillId="6" borderId="8" xfId="0" applyFont="1" applyFill="1" applyBorder="1" applyAlignment="1">
      <alignment vertical="center" wrapText="1"/>
    </xf>
    <xf numFmtId="0" fontId="11" fillId="0" borderId="0" xfId="0" applyFont="1"/>
    <xf numFmtId="0" fontId="12" fillId="0" borderId="0" xfId="3" applyFont="1" applyAlignment="1">
      <alignment horizontal="right"/>
    </xf>
    <xf numFmtId="0" fontId="13" fillId="0" borderId="0" xfId="3" applyFont="1" applyAlignment="1">
      <alignment horizontal="right"/>
    </xf>
    <xf numFmtId="0" fontId="12" fillId="0" borderId="0" xfId="0" applyFont="1" applyAlignment="1">
      <alignment horizontal="right" vertical="top"/>
    </xf>
    <xf numFmtId="0" fontId="0" fillId="0" borderId="0" xfId="0" applyBorder="1"/>
    <xf numFmtId="0" fontId="11" fillId="0" borderId="1" xfId="0" quotePrefix="1" applyFont="1" applyBorder="1" applyAlignment="1">
      <alignment horizontal="center"/>
    </xf>
    <xf numFmtId="0" fontId="10" fillId="4" borderId="11" xfId="0" applyFont="1" applyFill="1" applyBorder="1" applyAlignment="1">
      <alignment vertical="center" wrapText="1"/>
    </xf>
    <xf numFmtId="0" fontId="11" fillId="0" borderId="1" xfId="0" applyFont="1" applyBorder="1" applyAlignment="1">
      <alignment horizontal="center"/>
    </xf>
    <xf numFmtId="0" fontId="11" fillId="0" borderId="1" xfId="0" applyFont="1" applyFill="1" applyBorder="1" applyAlignment="1">
      <alignment horizontal="center"/>
    </xf>
    <xf numFmtId="3" fontId="10" fillId="2" borderId="7" xfId="1" applyNumberFormat="1" applyFont="1" applyFill="1" applyBorder="1" applyAlignment="1" applyProtection="1">
      <alignment horizontal="center" vertical="center" wrapText="1"/>
      <protection locked="0"/>
    </xf>
    <xf numFmtId="3" fontId="10" fillId="2" borderId="8" xfId="1" applyNumberFormat="1" applyFont="1" applyFill="1" applyBorder="1" applyAlignment="1" applyProtection="1">
      <alignment horizontal="center" vertical="center" wrapText="1"/>
      <protection locked="0"/>
    </xf>
    <xf numFmtId="3" fontId="10" fillId="2" borderId="12" xfId="1" applyNumberFormat="1" applyFont="1" applyFill="1" applyBorder="1" applyAlignment="1" applyProtection="1">
      <alignment horizontal="center" vertical="center" wrapText="1"/>
      <protection locked="0"/>
    </xf>
    <xf numFmtId="0" fontId="11" fillId="0" borderId="1" xfId="0" applyFont="1" applyBorder="1"/>
    <xf numFmtId="4" fontId="10" fillId="5" borderId="10" xfId="3" applyNumberFormat="1" applyFont="1" applyFill="1" applyBorder="1" applyAlignment="1">
      <alignment horizontal="center" vertical="center" wrapText="1"/>
    </xf>
    <xf numFmtId="4" fontId="10" fillId="5" borderId="12" xfId="3" applyNumberFormat="1" applyFont="1" applyFill="1" applyBorder="1" applyAlignment="1">
      <alignment horizontal="center" vertical="center" wrapText="1"/>
    </xf>
    <xf numFmtId="3" fontId="5" fillId="3" borderId="7" xfId="1" applyNumberFormat="1" applyFont="1" applyFill="1" applyBorder="1" applyAlignment="1" applyProtection="1">
      <alignment horizontal="center" vertical="center" wrapText="1"/>
      <protection locked="0"/>
    </xf>
    <xf numFmtId="3" fontId="5" fillId="3" borderId="12" xfId="1" applyNumberFormat="1" applyFont="1" applyFill="1" applyBorder="1" applyAlignment="1" applyProtection="1">
      <alignment horizontal="center" vertical="center" wrapText="1"/>
      <protection locked="0"/>
    </xf>
    <xf numFmtId="0" fontId="10" fillId="4" borderId="2" xfId="0" applyFont="1" applyFill="1" applyBorder="1" applyAlignment="1">
      <alignment vertical="center" wrapText="1"/>
    </xf>
    <xf numFmtId="0" fontId="10" fillId="6" borderId="13" xfId="0" applyFont="1" applyFill="1" applyBorder="1" applyAlignment="1">
      <alignment vertical="center" wrapText="1"/>
    </xf>
    <xf numFmtId="0" fontId="10" fillId="4" borderId="10" xfId="0" applyFont="1" applyFill="1" applyBorder="1" applyAlignment="1">
      <alignment vertical="center" wrapText="1"/>
    </xf>
    <xf numFmtId="0" fontId="10" fillId="4" borderId="13" xfId="0" applyFont="1" applyFill="1" applyBorder="1" applyAlignment="1">
      <alignment vertical="center" wrapText="1"/>
    </xf>
    <xf numFmtId="0" fontId="0" fillId="0" borderId="0" xfId="0" applyAlignment="1">
      <alignment wrapText="1"/>
    </xf>
    <xf numFmtId="0" fontId="9" fillId="0" borderId="0" xfId="3" applyFont="1" applyAlignment="1">
      <alignment wrapText="1"/>
    </xf>
    <xf numFmtId="0" fontId="0" fillId="0" borderId="1" xfId="0" applyBorder="1" applyAlignment="1">
      <alignment wrapText="1"/>
    </xf>
    <xf numFmtId="4" fontId="0" fillId="0" borderId="0" xfId="0" applyNumberFormat="1"/>
    <xf numFmtId="0" fontId="11" fillId="0" borderId="0" xfId="0" applyFont="1" applyAlignment="1">
      <alignment wrapText="1"/>
    </xf>
    <xf numFmtId="4" fontId="15" fillId="0" borderId="0" xfId="0" applyNumberFormat="1" applyFont="1"/>
    <xf numFmtId="4" fontId="16" fillId="0" borderId="0" xfId="0" applyNumberFormat="1" applyFont="1"/>
    <xf numFmtId="0" fontId="16" fillId="0" borderId="0" xfId="0" applyFont="1"/>
    <xf numFmtId="0" fontId="0" fillId="0" borderId="0" xfId="0" applyBorder="1" applyAlignment="1">
      <alignment wrapText="1"/>
    </xf>
    <xf numFmtId="4" fontId="11" fillId="0" borderId="0" xfId="0" applyNumberFormat="1" applyFont="1" applyBorder="1" applyAlignment="1">
      <alignment horizontal="center"/>
    </xf>
    <xf numFmtId="4" fontId="11" fillId="0" borderId="0" xfId="0" quotePrefix="1" applyNumberFormat="1" applyFont="1" applyBorder="1" applyAlignment="1">
      <alignment horizontal="center"/>
    </xf>
    <xf numFmtId="4" fontId="11" fillId="0" borderId="0" xfId="0" applyNumberFormat="1" applyFont="1" applyBorder="1"/>
    <xf numFmtId="4" fontId="0" fillId="0" borderId="0" xfId="0" applyNumberFormat="1" applyBorder="1"/>
    <xf numFmtId="4" fontId="11" fillId="0" borderId="0" xfId="0" quotePrefix="1" applyNumberFormat="1" applyFont="1" applyBorder="1" applyAlignment="1"/>
    <xf numFmtId="0" fontId="18" fillId="0" borderId="0" xfId="0" applyFont="1"/>
    <xf numFmtId="4" fontId="11" fillId="0" borderId="0" xfId="0" applyNumberFormat="1" applyFont="1"/>
    <xf numFmtId="4" fontId="11" fillId="0" borderId="0" xfId="0" applyNumberFormat="1" applyFont="1" applyFill="1"/>
    <xf numFmtId="4" fontId="15" fillId="0" borderId="0" xfId="0" applyNumberFormat="1" applyFont="1" applyFill="1"/>
    <xf numFmtId="0" fontId="0" fillId="0" borderId="0" xfId="0" applyFill="1" applyAlignment="1">
      <alignment wrapText="1"/>
    </xf>
    <xf numFmtId="4" fontId="0" fillId="0" borderId="0" xfId="0" applyNumberFormat="1" applyFill="1"/>
    <xf numFmtId="0" fontId="10" fillId="0" borderId="0" xfId="3" applyFont="1" applyAlignment="1">
      <alignment horizontal="right" wrapText="1"/>
    </xf>
    <xf numFmtId="0" fontId="19" fillId="0" borderId="0" xfId="3" applyFont="1" applyAlignment="1">
      <alignment horizontal="right" wrapText="1"/>
    </xf>
    <xf numFmtId="0" fontId="10" fillId="0" borderId="0" xfId="0" applyFont="1" applyAlignment="1">
      <alignment horizontal="right" vertical="top" wrapText="1"/>
    </xf>
    <xf numFmtId="0" fontId="20" fillId="0" borderId="0" xfId="0" applyFont="1" applyAlignment="1">
      <alignment horizontal="right" vertical="top" wrapText="1"/>
    </xf>
    <xf numFmtId="4" fontId="18" fillId="0" borderId="0" xfId="0" applyNumberFormat="1" applyFont="1" applyAlignment="1">
      <alignment wrapText="1"/>
    </xf>
    <xf numFmtId="0" fontId="1" fillId="0" borderId="0" xfId="0" applyFont="1" applyBorder="1" applyAlignment="1">
      <alignment wrapText="1"/>
    </xf>
    <xf numFmtId="4" fontId="1" fillId="0" borderId="0" xfId="0" applyNumberFormat="1" applyFont="1" applyAlignment="1">
      <alignment wrapText="1"/>
    </xf>
    <xf numFmtId="0" fontId="1" fillId="0" borderId="0" xfId="0" applyFont="1" applyAlignment="1">
      <alignment wrapText="1"/>
    </xf>
    <xf numFmtId="4" fontId="11" fillId="0" borderId="0" xfId="0" applyNumberFormat="1" applyFont="1" applyAlignment="1">
      <alignment wrapText="1"/>
    </xf>
    <xf numFmtId="4" fontId="14" fillId="0" borderId="0" xfId="0" applyNumberFormat="1" applyFont="1" applyAlignment="1">
      <alignment wrapText="1"/>
    </xf>
    <xf numFmtId="4" fontId="1" fillId="0" borderId="0" xfId="0" applyNumberFormat="1" applyFont="1" applyAlignment="1">
      <alignment vertical="top" wrapText="1"/>
    </xf>
    <xf numFmtId="4" fontId="11" fillId="0" borderId="0" xfId="0" applyNumberFormat="1" applyFont="1" applyFill="1" applyAlignment="1">
      <alignment wrapText="1"/>
    </xf>
    <xf numFmtId="4" fontId="0" fillId="0" borderId="0" xfId="0" applyNumberFormat="1" applyFont="1" applyAlignment="1">
      <alignment wrapText="1"/>
    </xf>
    <xf numFmtId="0" fontId="21" fillId="0" borderId="0" xfId="4" quotePrefix="1" applyFill="1" applyAlignment="1">
      <alignment wrapText="1"/>
    </xf>
    <xf numFmtId="0" fontId="0" fillId="0" borderId="0" xfId="0" applyFill="1" applyBorder="1" applyAlignment="1">
      <alignment wrapText="1"/>
    </xf>
    <xf numFmtId="4" fontId="1" fillId="0" borderId="0" xfId="0" applyNumberFormat="1" applyFont="1" applyFill="1" applyAlignment="1">
      <alignment wrapText="1"/>
    </xf>
    <xf numFmtId="4" fontId="12" fillId="0" borderId="0" xfId="0" applyNumberFormat="1" applyFont="1" applyAlignment="1">
      <alignment horizontal="right" vertical="top"/>
    </xf>
    <xf numFmtId="0" fontId="17" fillId="0" borderId="0" xfId="3" applyFont="1" applyFill="1"/>
    <xf numFmtId="0" fontId="0" fillId="0" borderId="0" xfId="0" applyFill="1"/>
    <xf numFmtId="3" fontId="10" fillId="0" borderId="9"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3" fontId="5" fillId="9" borderId="9" xfId="0" applyNumberFormat="1" applyFont="1" applyFill="1" applyBorder="1" applyAlignment="1">
      <alignment horizontal="center" vertical="center" wrapText="1"/>
    </xf>
    <xf numFmtId="3" fontId="5" fillId="9" borderId="14" xfId="0" applyNumberFormat="1" applyFont="1" applyFill="1" applyBorder="1" applyAlignment="1">
      <alignment horizontal="center" vertical="center" wrapText="1"/>
    </xf>
    <xf numFmtId="0" fontId="10" fillId="2" borderId="2" xfId="3" applyFont="1" applyFill="1" applyBorder="1" applyAlignment="1">
      <alignment horizontal="center"/>
    </xf>
    <xf numFmtId="0" fontId="10" fillId="2" borderId="3" xfId="3" applyFont="1" applyFill="1" applyBorder="1" applyAlignment="1">
      <alignment horizontal="center"/>
    </xf>
    <xf numFmtId="0" fontId="10" fillId="2" borderId="6" xfId="3" applyFont="1" applyFill="1" applyBorder="1" applyAlignment="1">
      <alignment horizontal="center"/>
    </xf>
    <xf numFmtId="3" fontId="10" fillId="5" borderId="2" xfId="3" applyNumberFormat="1" applyFont="1" applyFill="1" applyBorder="1" applyAlignment="1">
      <alignment horizontal="center" wrapText="1"/>
    </xf>
    <xf numFmtId="3" fontId="10" fillId="5" borderId="3" xfId="3" applyNumberFormat="1" applyFont="1" applyFill="1" applyBorder="1" applyAlignment="1">
      <alignment horizontal="center" wrapText="1"/>
    </xf>
    <xf numFmtId="3" fontId="10" fillId="5" borderId="6" xfId="3" applyNumberFormat="1" applyFont="1" applyFill="1" applyBorder="1" applyAlignment="1">
      <alignment horizontal="center" wrapText="1"/>
    </xf>
    <xf numFmtId="3" fontId="5" fillId="3" borderId="4" xfId="0" applyNumberFormat="1" applyFont="1" applyFill="1" applyBorder="1" applyAlignment="1">
      <alignment horizontal="center"/>
    </xf>
    <xf numFmtId="3" fontId="5" fillId="3" borderId="5" xfId="0" applyNumberFormat="1" applyFont="1" applyFill="1" applyBorder="1" applyAlignment="1">
      <alignment horizontal="center"/>
    </xf>
    <xf numFmtId="3" fontId="5" fillId="7" borderId="9" xfId="0" applyNumberFormat="1" applyFont="1" applyFill="1" applyBorder="1" applyAlignment="1">
      <alignment horizontal="center" vertical="center" wrapText="1"/>
    </xf>
    <xf numFmtId="3" fontId="5" fillId="7" borderId="14" xfId="0" applyNumberFormat="1" applyFont="1" applyFill="1" applyBorder="1" applyAlignment="1">
      <alignment horizontal="center" vertical="center" wrapText="1"/>
    </xf>
    <xf numFmtId="3" fontId="5" fillId="8" borderId="9" xfId="0" applyNumberFormat="1" applyFont="1" applyFill="1" applyBorder="1" applyAlignment="1">
      <alignment horizontal="center" vertical="center" wrapText="1"/>
    </xf>
    <xf numFmtId="3" fontId="5" fillId="8" borderId="14" xfId="0" applyNumberFormat="1" applyFont="1" applyFill="1" applyBorder="1" applyAlignment="1">
      <alignment horizontal="center" vertical="center" wrapText="1"/>
    </xf>
  </cellXfs>
  <cellStyles count="5">
    <cellStyle name="Hüperlink" xfId="4" builtinId="8"/>
    <cellStyle name="Normaallaad" xfId="0" builtinId="0"/>
    <cellStyle name="Normaallaad 2" xfId="3" xr:uid="{2D5747CA-EFA3-40C3-8C44-B1DFE25174A1}"/>
    <cellStyle name="Normal 10 2" xfId="2" xr:uid="{00000000-0005-0000-0000-000001000000}"/>
    <cellStyle name="Normal 25 9" xfId="1" xr:uid="{00000000-0005-0000-0000-000002000000}"/>
  </cellStyles>
  <dxfs count="0"/>
  <tableStyles count="0" defaultTableStyle="TableStyleMedium2" defaultPivotStyle="PivotStyleLight16"/>
  <colors>
    <mruColors>
      <color rgb="FFD096C8"/>
      <color rgb="FFCC99FF"/>
      <color rgb="FFABE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Industry@Tallinn%20&amp;%20Baltic%20Event%202024%20-%20BMO%20O&#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645E3-9CF0-4EDF-B290-8B4E7C2C4F05}">
  <dimension ref="A1:Y201"/>
  <sheetViews>
    <sheetView tabSelected="1" zoomScale="70" zoomScaleNormal="70" workbookViewId="0">
      <pane xSplit="11" ySplit="9" topLeftCell="M10" activePane="bottomRight" state="frozen"/>
      <selection pane="topRight" activeCell="N1" sqref="N1"/>
      <selection pane="bottomLeft" activeCell="A10" sqref="A10"/>
      <selection pane="bottomRight" activeCell="P12" sqref="P12"/>
    </sheetView>
  </sheetViews>
  <sheetFormatPr defaultRowHeight="15" x14ac:dyDescent="0.25"/>
  <cols>
    <col min="1" max="1" width="6.28515625" customWidth="1"/>
    <col min="2" max="2" width="8.7109375" customWidth="1"/>
    <col min="3" max="3" width="18.5703125" customWidth="1"/>
    <col min="4" max="4" width="11.5703125" customWidth="1"/>
    <col min="5" max="5" width="13.28515625" customWidth="1"/>
    <col min="6" max="6" width="14.28515625" style="32" customWidth="1"/>
    <col min="7" max="7" width="8.5703125" customWidth="1"/>
    <col min="8" max="8" width="16.85546875" customWidth="1"/>
    <col min="9" max="9" width="7.42578125" customWidth="1"/>
    <col min="10" max="10" width="10" customWidth="1"/>
    <col min="11" max="11" width="38.28515625" style="32" customWidth="1"/>
    <col min="12" max="12" width="14.140625" customWidth="1"/>
    <col min="13" max="13" width="14.85546875" customWidth="1"/>
    <col min="14" max="14" width="15.42578125" customWidth="1"/>
    <col min="15" max="15" width="14.7109375" customWidth="1"/>
    <col min="16" max="16" width="13.42578125" customWidth="1"/>
    <col min="17" max="17" width="14.28515625" customWidth="1"/>
    <col min="18" max="18" width="13.28515625" customWidth="1"/>
    <col min="19" max="19" width="13.7109375" customWidth="1"/>
    <col min="20" max="20" width="13.28515625" customWidth="1"/>
    <col min="21" max="21" width="13.140625" customWidth="1"/>
    <col min="22" max="22" width="18.28515625" customWidth="1"/>
    <col min="23" max="24" width="14.28515625" customWidth="1"/>
    <col min="25" max="25" width="45.140625" style="59" customWidth="1"/>
  </cols>
  <sheetData>
    <row r="1" spans="1:25" ht="15.75" x14ac:dyDescent="0.25">
      <c r="J1" s="11"/>
      <c r="K1" s="36"/>
      <c r="L1" s="11"/>
      <c r="M1" s="11"/>
      <c r="N1" s="11"/>
      <c r="O1" s="11"/>
      <c r="P1" s="11"/>
      <c r="Q1" s="11"/>
      <c r="R1" s="11"/>
      <c r="S1" s="12"/>
      <c r="T1" s="12"/>
      <c r="U1" s="12"/>
      <c r="V1" s="12"/>
      <c r="W1" s="12" t="s">
        <v>13</v>
      </c>
      <c r="X1" s="12"/>
      <c r="Y1" s="52"/>
    </row>
    <row r="2" spans="1:25" ht="15.75" customHeight="1" x14ac:dyDescent="0.25">
      <c r="J2" s="11"/>
      <c r="K2" s="36"/>
      <c r="L2" s="11"/>
      <c r="M2" s="11"/>
      <c r="N2" s="11"/>
      <c r="O2" s="11"/>
      <c r="P2" s="11"/>
      <c r="Q2" s="11"/>
      <c r="R2" s="11"/>
      <c r="S2" s="13"/>
      <c r="T2" s="13"/>
      <c r="U2" s="13"/>
      <c r="V2" s="13"/>
      <c r="W2" s="13" t="s">
        <v>19</v>
      </c>
      <c r="X2" s="13"/>
      <c r="Y2" s="53"/>
    </row>
    <row r="3" spans="1:25" ht="30" customHeight="1" x14ac:dyDescent="0.25">
      <c r="J3" s="11"/>
      <c r="K3" s="36"/>
      <c r="L3" s="46"/>
      <c r="M3" s="11"/>
      <c r="N3" s="11"/>
      <c r="O3" s="11"/>
      <c r="P3" s="11"/>
      <c r="Q3" s="11"/>
      <c r="R3" s="11"/>
      <c r="S3" s="14"/>
      <c r="T3" s="14"/>
      <c r="U3" s="14"/>
      <c r="V3" s="14"/>
      <c r="W3" s="14" t="s">
        <v>283</v>
      </c>
      <c r="X3" s="68"/>
      <c r="Y3" s="54"/>
    </row>
    <row r="4" spans="1:25" ht="13.5" customHeight="1" x14ac:dyDescent="0.25">
      <c r="J4" s="11"/>
      <c r="K4" s="36"/>
      <c r="L4" s="11"/>
      <c r="M4" s="11"/>
      <c r="N4" s="11"/>
      <c r="O4" s="39"/>
      <c r="P4" s="38"/>
      <c r="Q4" s="11"/>
      <c r="R4" s="11"/>
      <c r="S4" s="14"/>
      <c r="T4" s="14"/>
      <c r="U4" s="14"/>
      <c r="V4" s="14"/>
      <c r="W4" s="14" t="s">
        <v>7</v>
      </c>
      <c r="X4" s="68"/>
      <c r="Y4" s="54"/>
    </row>
    <row r="5" spans="1:25" ht="13.5" customHeight="1" x14ac:dyDescent="0.25">
      <c r="J5" s="11"/>
      <c r="K5" s="36"/>
      <c r="L5" s="11"/>
      <c r="M5" s="11"/>
      <c r="N5" s="11"/>
      <c r="O5" s="11"/>
      <c r="P5" s="38"/>
      <c r="Q5" s="11"/>
      <c r="R5" s="11"/>
      <c r="S5" s="6"/>
      <c r="T5" s="6"/>
      <c r="U5" s="6"/>
      <c r="V5" s="6"/>
      <c r="W5" s="6" t="s">
        <v>11</v>
      </c>
      <c r="X5" s="6"/>
      <c r="Y5" s="55"/>
    </row>
    <row r="6" spans="1:25" ht="15.75" thickBot="1" x14ac:dyDescent="0.3">
      <c r="J6" s="11"/>
      <c r="K6" s="36"/>
      <c r="L6" s="37">
        <f>SUBTOTAL(9,L10:L188)</f>
        <v>344819717.74999976</v>
      </c>
      <c r="M6" s="37">
        <f>SUBTOTAL(9,M10:M188)</f>
        <v>48732470.030000009</v>
      </c>
      <c r="N6" s="49">
        <f>SUBTOTAL(9,N10:N188)</f>
        <v>302468755.19000018</v>
      </c>
      <c r="O6" s="49">
        <f>SUBTOTAL(9,O10:O188)</f>
        <v>42350962.56000001</v>
      </c>
      <c r="P6" s="49"/>
      <c r="Q6" s="49">
        <f t="shared" ref="Q6:X6" si="0">SUBTOTAL(9,Q10:Q188)</f>
        <v>38653910.479999997</v>
      </c>
      <c r="R6" s="49">
        <f t="shared" si="0"/>
        <v>1609002</v>
      </c>
      <c r="S6" s="49">
        <f t="shared" si="0"/>
        <v>40262912.479999997</v>
      </c>
      <c r="T6" s="49">
        <f t="shared" si="0"/>
        <v>0</v>
      </c>
      <c r="U6" s="49">
        <f t="shared" si="0"/>
        <v>719054.47</v>
      </c>
      <c r="V6" s="49">
        <f t="shared" si="0"/>
        <v>0</v>
      </c>
      <c r="W6" s="49">
        <f t="shared" si="0"/>
        <v>0</v>
      </c>
      <c r="X6" s="49">
        <f t="shared" si="0"/>
        <v>1368995.6000000008</v>
      </c>
      <c r="Y6" s="56"/>
    </row>
    <row r="7" spans="1:25" ht="47.65" customHeight="1" thickBot="1" x14ac:dyDescent="0.3">
      <c r="F7" s="33"/>
      <c r="G7" s="5"/>
      <c r="J7" s="69"/>
      <c r="K7" s="33"/>
      <c r="L7" s="75" t="s">
        <v>347</v>
      </c>
      <c r="M7" s="76"/>
      <c r="N7" s="76"/>
      <c r="O7" s="76"/>
      <c r="P7" s="77"/>
      <c r="Q7" s="78" t="s">
        <v>402</v>
      </c>
      <c r="R7" s="79"/>
      <c r="S7" s="80"/>
      <c r="T7" s="81" t="s">
        <v>4</v>
      </c>
      <c r="U7" s="82"/>
      <c r="V7" s="83" t="s">
        <v>42</v>
      </c>
      <c r="W7" s="85" t="s">
        <v>43</v>
      </c>
      <c r="X7" s="73" t="s">
        <v>313</v>
      </c>
      <c r="Y7" s="71" t="s">
        <v>408</v>
      </c>
    </row>
    <row r="8" spans="1:25" ht="87" customHeight="1" thickBot="1" x14ac:dyDescent="0.3">
      <c r="A8" s="8" t="s">
        <v>14</v>
      </c>
      <c r="B8" s="28" t="s">
        <v>41</v>
      </c>
      <c r="C8" s="30" t="s">
        <v>30</v>
      </c>
      <c r="D8" s="29" t="s">
        <v>31</v>
      </c>
      <c r="E8" s="10" t="s">
        <v>18</v>
      </c>
      <c r="F8" s="10" t="s">
        <v>37</v>
      </c>
      <c r="G8" s="17" t="s">
        <v>16</v>
      </c>
      <c r="H8" s="30" t="s">
        <v>284</v>
      </c>
      <c r="I8" s="31" t="s">
        <v>15</v>
      </c>
      <c r="J8" s="9" t="s">
        <v>38</v>
      </c>
      <c r="K8" s="17" t="s">
        <v>17</v>
      </c>
      <c r="L8" s="20" t="s">
        <v>0</v>
      </c>
      <c r="M8" s="21" t="s">
        <v>40</v>
      </c>
      <c r="N8" s="21" t="s">
        <v>32</v>
      </c>
      <c r="O8" s="21" t="s">
        <v>1</v>
      </c>
      <c r="P8" s="22" t="s">
        <v>33</v>
      </c>
      <c r="Q8" s="24" t="s">
        <v>35</v>
      </c>
      <c r="R8" s="25" t="s">
        <v>34</v>
      </c>
      <c r="S8" s="25" t="s">
        <v>36</v>
      </c>
      <c r="T8" s="26" t="s">
        <v>10</v>
      </c>
      <c r="U8" s="27" t="s">
        <v>5</v>
      </c>
      <c r="V8" s="84"/>
      <c r="W8" s="86"/>
      <c r="X8" s="74"/>
      <c r="Y8" s="72"/>
    </row>
    <row r="9" spans="1:25" x14ac:dyDescent="0.25">
      <c r="A9" s="7"/>
      <c r="B9" s="7"/>
      <c r="C9" s="7"/>
      <c r="D9" s="7"/>
      <c r="E9" s="7"/>
      <c r="F9" s="34"/>
      <c r="G9" s="7"/>
      <c r="H9" s="7"/>
      <c r="I9" s="7"/>
      <c r="J9" s="7"/>
      <c r="K9" s="34"/>
      <c r="L9" s="18" t="s">
        <v>2</v>
      </c>
      <c r="M9" s="18" t="s">
        <v>3</v>
      </c>
      <c r="N9" s="16" t="s">
        <v>20</v>
      </c>
      <c r="O9" s="19" t="s">
        <v>39</v>
      </c>
      <c r="P9" s="16" t="s">
        <v>21</v>
      </c>
      <c r="Q9" s="16" t="s">
        <v>8</v>
      </c>
      <c r="R9" s="16" t="s">
        <v>22</v>
      </c>
      <c r="S9" s="23" t="s">
        <v>23</v>
      </c>
      <c r="T9" s="16" t="s">
        <v>9</v>
      </c>
      <c r="U9" s="16" t="s">
        <v>6</v>
      </c>
      <c r="V9" s="7"/>
      <c r="W9" s="7"/>
      <c r="X9" s="15"/>
      <c r="Y9" s="57"/>
    </row>
    <row r="10" spans="1:25" ht="75" x14ac:dyDescent="0.25">
      <c r="A10" t="s">
        <v>47</v>
      </c>
      <c r="B10" t="s">
        <v>47</v>
      </c>
      <c r="C10" t="s">
        <v>44</v>
      </c>
      <c r="D10" t="s">
        <v>45</v>
      </c>
      <c r="E10" t="s">
        <v>293</v>
      </c>
      <c r="F10" s="32" t="s">
        <v>46</v>
      </c>
      <c r="G10">
        <v>45</v>
      </c>
      <c r="H10" t="s">
        <v>48</v>
      </c>
      <c r="I10">
        <v>20</v>
      </c>
      <c r="J10" s="15"/>
      <c r="K10" s="66" t="s">
        <v>359</v>
      </c>
      <c r="L10" s="41">
        <f>4506237+230000+10000</f>
        <v>4746237</v>
      </c>
      <c r="M10" s="41">
        <v>10000</v>
      </c>
      <c r="N10" s="42">
        <f>4506237+228526</f>
        <v>4734763</v>
      </c>
      <c r="O10" s="35">
        <f>L10-N10</f>
        <v>11474</v>
      </c>
      <c r="P10" s="42">
        <f>O10</f>
        <v>11474</v>
      </c>
      <c r="Q10" s="42">
        <f>P10</f>
        <v>11474</v>
      </c>
      <c r="R10" s="42"/>
      <c r="S10" s="43">
        <f>Q10+R10</f>
        <v>11474</v>
      </c>
      <c r="T10" s="42"/>
      <c r="U10" s="42"/>
      <c r="V10" s="44"/>
      <c r="W10" s="44"/>
      <c r="X10" s="44"/>
      <c r="Y10" s="58" t="s">
        <v>360</v>
      </c>
    </row>
    <row r="11" spans="1:25" ht="75" x14ac:dyDescent="0.25">
      <c r="A11" t="s">
        <v>47</v>
      </c>
      <c r="B11" t="s">
        <v>47</v>
      </c>
      <c r="C11" t="s">
        <v>44</v>
      </c>
      <c r="D11" t="s">
        <v>45</v>
      </c>
      <c r="E11" t="s">
        <v>293</v>
      </c>
      <c r="F11" s="32" t="s">
        <v>46</v>
      </c>
      <c r="G11">
        <v>45</v>
      </c>
      <c r="H11" t="s">
        <v>48</v>
      </c>
      <c r="I11">
        <v>20</v>
      </c>
      <c r="J11" s="15"/>
      <c r="K11" s="40" t="s">
        <v>189</v>
      </c>
      <c r="L11" s="41">
        <v>1650000</v>
      </c>
      <c r="M11" s="41"/>
      <c r="N11" s="42">
        <v>1646560.57</v>
      </c>
      <c r="O11" s="35">
        <v>3439.4299999999348</v>
      </c>
      <c r="P11" s="45">
        <v>3439.4299999999348</v>
      </c>
      <c r="Q11" s="42">
        <v>3439.4299999999348</v>
      </c>
      <c r="R11" s="42"/>
      <c r="S11" s="43">
        <f t="shared" ref="S11:S68" si="1">Q11+R11</f>
        <v>3439.4299999999348</v>
      </c>
      <c r="T11" s="42"/>
      <c r="U11" s="42"/>
      <c r="V11" s="44"/>
      <c r="W11" s="44"/>
      <c r="X11" s="44"/>
      <c r="Y11" s="58" t="s">
        <v>314</v>
      </c>
    </row>
    <row r="12" spans="1:25" ht="75" x14ac:dyDescent="0.25">
      <c r="A12" t="s">
        <v>47</v>
      </c>
      <c r="B12" t="s">
        <v>47</v>
      </c>
      <c r="C12" t="s">
        <v>44</v>
      </c>
      <c r="D12" t="s">
        <v>45</v>
      </c>
      <c r="E12" t="s">
        <v>292</v>
      </c>
      <c r="F12" s="32" t="s">
        <v>49</v>
      </c>
      <c r="G12">
        <v>45</v>
      </c>
      <c r="H12" t="s">
        <v>48</v>
      </c>
      <c r="I12">
        <v>20</v>
      </c>
      <c r="K12" s="32" t="s">
        <v>261</v>
      </c>
      <c r="L12" s="35">
        <v>23950800</v>
      </c>
      <c r="M12" s="35"/>
      <c r="N12" s="35">
        <v>23950800</v>
      </c>
      <c r="O12" s="35">
        <v>0</v>
      </c>
      <c r="P12" s="35"/>
      <c r="Q12" s="35"/>
      <c r="R12" s="35"/>
      <c r="S12" s="43">
        <f t="shared" si="1"/>
        <v>0</v>
      </c>
      <c r="T12" s="35"/>
      <c r="U12" s="35"/>
      <c r="V12" s="35"/>
      <c r="W12" s="35"/>
      <c r="X12" s="35"/>
      <c r="Y12" s="58"/>
    </row>
    <row r="13" spans="1:25" ht="75" x14ac:dyDescent="0.25">
      <c r="A13" t="s">
        <v>47</v>
      </c>
      <c r="B13" t="s">
        <v>47</v>
      </c>
      <c r="C13" t="s">
        <v>44</v>
      </c>
      <c r="D13" t="s">
        <v>45</v>
      </c>
      <c r="E13" t="s">
        <v>292</v>
      </c>
      <c r="F13" s="32" t="s">
        <v>49</v>
      </c>
      <c r="G13">
        <v>45</v>
      </c>
      <c r="H13" t="s">
        <v>48</v>
      </c>
      <c r="I13">
        <v>20</v>
      </c>
      <c r="J13" t="s">
        <v>180</v>
      </c>
      <c r="K13" s="32" t="s">
        <v>185</v>
      </c>
      <c r="L13" s="35">
        <v>11221432</v>
      </c>
      <c r="M13" s="35"/>
      <c r="N13" s="35">
        <v>11221432</v>
      </c>
      <c r="O13" s="35">
        <v>0</v>
      </c>
      <c r="P13" s="35"/>
      <c r="Q13" s="35"/>
      <c r="R13" s="35"/>
      <c r="S13" s="43">
        <f t="shared" si="1"/>
        <v>0</v>
      </c>
      <c r="T13" s="35"/>
      <c r="U13" s="35"/>
      <c r="V13" s="35"/>
      <c r="W13" s="35"/>
      <c r="X13" s="35"/>
      <c r="Y13" s="58"/>
    </row>
    <row r="14" spans="1:25" ht="75" x14ac:dyDescent="0.25">
      <c r="A14" t="s">
        <v>47</v>
      </c>
      <c r="B14" t="s">
        <v>47</v>
      </c>
      <c r="C14" t="s">
        <v>44</v>
      </c>
      <c r="D14" t="s">
        <v>45</v>
      </c>
      <c r="E14" t="s">
        <v>292</v>
      </c>
      <c r="F14" s="32" t="s">
        <v>49</v>
      </c>
      <c r="G14">
        <v>45</v>
      </c>
      <c r="H14" t="s">
        <v>48</v>
      </c>
      <c r="I14">
        <v>20</v>
      </c>
      <c r="J14" t="s">
        <v>183</v>
      </c>
      <c r="K14" s="32" t="s">
        <v>184</v>
      </c>
      <c r="L14" s="35">
        <v>2016295.11</v>
      </c>
      <c r="M14" s="35"/>
      <c r="N14" s="35">
        <v>2016295.11</v>
      </c>
      <c r="O14" s="35">
        <v>0</v>
      </c>
      <c r="P14" s="35"/>
      <c r="Q14" s="35"/>
      <c r="R14" s="35"/>
      <c r="S14" s="43">
        <f t="shared" si="1"/>
        <v>0</v>
      </c>
      <c r="T14" s="35"/>
      <c r="U14" s="35"/>
      <c r="V14" s="35"/>
      <c r="W14" s="35"/>
      <c r="X14" s="35"/>
      <c r="Y14" s="58"/>
    </row>
    <row r="15" spans="1:25" ht="75" x14ac:dyDescent="0.25">
      <c r="A15" t="s">
        <v>47</v>
      </c>
      <c r="B15" t="s">
        <v>47</v>
      </c>
      <c r="C15" t="s">
        <v>44</v>
      </c>
      <c r="D15" t="s">
        <v>45</v>
      </c>
      <c r="E15" t="s">
        <v>292</v>
      </c>
      <c r="F15" s="32" t="s">
        <v>49</v>
      </c>
      <c r="G15">
        <v>45</v>
      </c>
      <c r="H15" t="s">
        <v>48</v>
      </c>
      <c r="I15">
        <v>20</v>
      </c>
      <c r="K15" s="32" t="s">
        <v>182</v>
      </c>
      <c r="L15" s="35">
        <v>4589443</v>
      </c>
      <c r="M15" s="35"/>
      <c r="N15" s="35">
        <v>4573817</v>
      </c>
      <c r="O15" s="35">
        <v>15626</v>
      </c>
      <c r="P15" s="35">
        <v>15626</v>
      </c>
      <c r="Q15" s="35">
        <f>15626-15626</f>
        <v>0</v>
      </c>
      <c r="R15" s="35"/>
      <c r="S15" s="43">
        <f t="shared" si="1"/>
        <v>0</v>
      </c>
      <c r="T15" s="35"/>
      <c r="U15" s="35"/>
      <c r="V15" s="35"/>
      <c r="W15" s="35"/>
      <c r="X15" s="35"/>
      <c r="Y15" s="58" t="s">
        <v>310</v>
      </c>
    </row>
    <row r="16" spans="1:25" ht="141.75" customHeight="1" x14ac:dyDescent="0.25">
      <c r="A16" t="s">
        <v>47</v>
      </c>
      <c r="B16" t="s">
        <v>47</v>
      </c>
      <c r="C16" t="s">
        <v>44</v>
      </c>
      <c r="D16" t="s">
        <v>45</v>
      </c>
      <c r="E16" t="s">
        <v>292</v>
      </c>
      <c r="F16" s="32" t="s">
        <v>49</v>
      </c>
      <c r="G16">
        <v>45</v>
      </c>
      <c r="H16" t="s">
        <v>48</v>
      </c>
      <c r="I16">
        <v>20</v>
      </c>
      <c r="K16" s="32" t="s">
        <v>181</v>
      </c>
      <c r="L16" s="35">
        <v>80000</v>
      </c>
      <c r="M16" s="35"/>
      <c r="N16" s="35"/>
      <c r="O16" s="35">
        <v>80000</v>
      </c>
      <c r="P16" s="35">
        <v>80000</v>
      </c>
      <c r="Q16" s="35">
        <v>80000</v>
      </c>
      <c r="R16" s="35"/>
      <c r="S16" s="43">
        <f t="shared" si="1"/>
        <v>80000</v>
      </c>
      <c r="T16" s="35"/>
      <c r="U16" s="35"/>
      <c r="V16" s="35"/>
      <c r="W16" s="35"/>
      <c r="X16" s="35"/>
      <c r="Y16" s="58" t="s">
        <v>311</v>
      </c>
    </row>
    <row r="17" spans="1:25" ht="75" x14ac:dyDescent="0.25">
      <c r="A17" t="s">
        <v>47</v>
      </c>
      <c r="B17" t="s">
        <v>47</v>
      </c>
      <c r="C17" t="s">
        <v>44</v>
      </c>
      <c r="D17" t="s">
        <v>45</v>
      </c>
      <c r="E17" t="s">
        <v>292</v>
      </c>
      <c r="F17" s="32" t="s">
        <v>49</v>
      </c>
      <c r="G17">
        <v>45</v>
      </c>
      <c r="H17" t="s">
        <v>48</v>
      </c>
      <c r="I17">
        <v>20</v>
      </c>
      <c r="J17" s="11" t="s">
        <v>180</v>
      </c>
      <c r="K17" s="32" t="s">
        <v>179</v>
      </c>
      <c r="L17" s="35">
        <v>175000</v>
      </c>
      <c r="M17" s="35"/>
      <c r="N17" s="35">
        <v>157245.51999999999</v>
      </c>
      <c r="O17" s="35">
        <v>17754.48000000001</v>
      </c>
      <c r="P17" s="35">
        <v>17754.48000000001</v>
      </c>
      <c r="Q17" s="35">
        <v>17754.48000000001</v>
      </c>
      <c r="R17" s="35"/>
      <c r="S17" s="43">
        <f t="shared" si="1"/>
        <v>17754.48000000001</v>
      </c>
      <c r="T17" s="35"/>
      <c r="U17" s="35"/>
      <c r="V17" s="35"/>
      <c r="W17" s="35"/>
      <c r="X17" s="35"/>
      <c r="Y17" s="58" t="s">
        <v>312</v>
      </c>
    </row>
    <row r="18" spans="1:25" ht="75" x14ac:dyDescent="0.25">
      <c r="A18" t="s">
        <v>47</v>
      </c>
      <c r="B18" t="s">
        <v>47</v>
      </c>
      <c r="C18" t="s">
        <v>44</v>
      </c>
      <c r="D18" t="s">
        <v>45</v>
      </c>
      <c r="E18" t="s">
        <v>292</v>
      </c>
      <c r="F18" s="32" t="s">
        <v>49</v>
      </c>
      <c r="G18">
        <v>45</v>
      </c>
      <c r="H18" t="s">
        <v>48</v>
      </c>
      <c r="I18">
        <v>20</v>
      </c>
      <c r="K18" s="32" t="s">
        <v>51</v>
      </c>
      <c r="L18" s="35">
        <v>116985</v>
      </c>
      <c r="M18" s="35">
        <v>120190</v>
      </c>
      <c r="N18" s="35"/>
      <c r="O18" s="35">
        <v>116985</v>
      </c>
      <c r="P18" s="35">
        <v>116985</v>
      </c>
      <c r="Q18" s="35">
        <f>116985+15626</f>
        <v>132611</v>
      </c>
      <c r="R18" s="35"/>
      <c r="S18" s="43">
        <f t="shared" si="1"/>
        <v>132611</v>
      </c>
      <c r="T18" s="35"/>
      <c r="U18" s="35"/>
      <c r="V18" s="35"/>
      <c r="W18" s="35"/>
      <c r="X18" s="35"/>
      <c r="Y18" s="58" t="s">
        <v>260</v>
      </c>
    </row>
    <row r="19" spans="1:25" s="11" customFormat="1" ht="141" customHeight="1" x14ac:dyDescent="0.25">
      <c r="A19" s="11" t="s">
        <v>47</v>
      </c>
      <c r="B19" s="11" t="s">
        <v>47</v>
      </c>
      <c r="C19" s="11" t="s">
        <v>44</v>
      </c>
      <c r="D19" s="11" t="s">
        <v>45</v>
      </c>
      <c r="E19" s="11" t="s">
        <v>298</v>
      </c>
      <c r="F19" s="36" t="s">
        <v>197</v>
      </c>
      <c r="G19" s="11">
        <v>41</v>
      </c>
      <c r="H19" s="11" t="s">
        <v>106</v>
      </c>
      <c r="I19" s="11">
        <v>20</v>
      </c>
      <c r="K19" s="36" t="s">
        <v>319</v>
      </c>
      <c r="L19" s="47">
        <v>291000</v>
      </c>
      <c r="M19" s="47"/>
      <c r="N19" s="47">
        <v>258123</v>
      </c>
      <c r="O19" s="47">
        <v>32877</v>
      </c>
      <c r="P19" s="47">
        <v>32877</v>
      </c>
      <c r="Q19" s="47">
        <f>P19</f>
        <v>32877</v>
      </c>
      <c r="R19" s="47"/>
      <c r="S19" s="43">
        <f t="shared" si="1"/>
        <v>32877</v>
      </c>
      <c r="T19" s="47"/>
      <c r="U19" s="47"/>
      <c r="V19" s="47"/>
      <c r="W19" s="47"/>
      <c r="X19" s="47"/>
      <c r="Y19" s="63" t="s">
        <v>361</v>
      </c>
    </row>
    <row r="20" spans="1:25" ht="75" x14ac:dyDescent="0.25">
      <c r="A20" t="s">
        <v>47</v>
      </c>
      <c r="B20" t="s">
        <v>47</v>
      </c>
      <c r="C20" t="s">
        <v>44</v>
      </c>
      <c r="D20" t="s">
        <v>45</v>
      </c>
      <c r="E20" t="s">
        <v>290</v>
      </c>
      <c r="F20" s="32" t="s">
        <v>50</v>
      </c>
      <c r="G20">
        <v>45</v>
      </c>
      <c r="H20" t="s">
        <v>48</v>
      </c>
      <c r="I20">
        <v>20</v>
      </c>
      <c r="K20" s="32" t="s">
        <v>308</v>
      </c>
      <c r="L20" s="35">
        <v>3019363</v>
      </c>
      <c r="M20" s="35"/>
      <c r="N20" s="35">
        <v>3019363</v>
      </c>
      <c r="O20" s="35">
        <v>0</v>
      </c>
      <c r="P20" s="35"/>
      <c r="Q20" s="35"/>
      <c r="R20" s="35"/>
      <c r="S20" s="43">
        <f t="shared" si="1"/>
        <v>0</v>
      </c>
      <c r="T20" s="35"/>
      <c r="U20" s="35"/>
      <c r="V20" s="35"/>
      <c r="W20" s="35"/>
      <c r="X20" s="35"/>
      <c r="Y20" s="58"/>
    </row>
    <row r="21" spans="1:25" ht="75" x14ac:dyDescent="0.25">
      <c r="A21" t="s">
        <v>47</v>
      </c>
      <c r="B21" t="s">
        <v>47</v>
      </c>
      <c r="C21" t="s">
        <v>44</v>
      </c>
      <c r="D21" t="s">
        <v>45</v>
      </c>
      <c r="E21" t="s">
        <v>290</v>
      </c>
      <c r="F21" s="32" t="s">
        <v>50</v>
      </c>
      <c r="G21">
        <v>45</v>
      </c>
      <c r="H21" t="s">
        <v>48</v>
      </c>
      <c r="I21">
        <v>20</v>
      </c>
      <c r="J21" t="s">
        <v>176</v>
      </c>
      <c r="K21" s="65" t="s">
        <v>358</v>
      </c>
      <c r="L21" s="35">
        <v>65000</v>
      </c>
      <c r="M21" s="35"/>
      <c r="N21" s="35">
        <v>65000</v>
      </c>
      <c r="O21" s="35">
        <v>0</v>
      </c>
      <c r="P21" s="35"/>
      <c r="Q21" s="35"/>
      <c r="R21" s="35"/>
      <c r="S21" s="43">
        <f t="shared" si="1"/>
        <v>0</v>
      </c>
      <c r="T21" s="35"/>
      <c r="U21" s="35"/>
      <c r="V21" s="35"/>
      <c r="W21" s="35"/>
      <c r="X21" s="35"/>
      <c r="Y21" s="58"/>
    </row>
    <row r="22" spans="1:25" ht="135.75" customHeight="1" x14ac:dyDescent="0.25">
      <c r="A22" t="s">
        <v>47</v>
      </c>
      <c r="B22" t="s">
        <v>47</v>
      </c>
      <c r="C22" t="s">
        <v>44</v>
      </c>
      <c r="D22" t="s">
        <v>45</v>
      </c>
      <c r="E22" t="s">
        <v>290</v>
      </c>
      <c r="F22" s="32" t="s">
        <v>50</v>
      </c>
      <c r="G22">
        <v>45</v>
      </c>
      <c r="H22" t="s">
        <v>48</v>
      </c>
      <c r="I22">
        <v>20</v>
      </c>
      <c r="K22" s="32" t="s">
        <v>52</v>
      </c>
      <c r="L22" s="35">
        <v>9583895.3800000008</v>
      </c>
      <c r="M22" s="35">
        <v>2070895.38</v>
      </c>
      <c r="N22" s="35">
        <v>5180650.26</v>
      </c>
      <c r="O22" s="35">
        <v>4403245.120000001</v>
      </c>
      <c r="P22" s="35">
        <v>4403245.120000001</v>
      </c>
      <c r="Q22" s="35">
        <v>4403245.120000001</v>
      </c>
      <c r="R22" s="35"/>
      <c r="S22" s="43">
        <f t="shared" si="1"/>
        <v>4403245.120000001</v>
      </c>
      <c r="T22" s="35"/>
      <c r="U22" s="35"/>
      <c r="V22" s="35"/>
      <c r="W22" s="35"/>
      <c r="X22" s="35"/>
      <c r="Y22" s="58" t="s">
        <v>378</v>
      </c>
    </row>
    <row r="23" spans="1:25" ht="143.25" customHeight="1" x14ac:dyDescent="0.25">
      <c r="A23" t="s">
        <v>47</v>
      </c>
      <c r="B23" t="s">
        <v>47</v>
      </c>
      <c r="C23" t="s">
        <v>44</v>
      </c>
      <c r="D23" t="s">
        <v>45</v>
      </c>
      <c r="E23" t="s">
        <v>290</v>
      </c>
      <c r="F23" s="32" t="s">
        <v>50</v>
      </c>
      <c r="G23">
        <v>45</v>
      </c>
      <c r="H23" t="s">
        <v>48</v>
      </c>
      <c r="I23">
        <v>20</v>
      </c>
      <c r="K23" s="32" t="s">
        <v>53</v>
      </c>
      <c r="L23" s="35">
        <v>6286077</v>
      </c>
      <c r="M23" s="35">
        <v>286077</v>
      </c>
      <c r="N23" s="35">
        <v>5932504</v>
      </c>
      <c r="O23" s="35">
        <v>353573</v>
      </c>
      <c r="P23" s="35">
        <v>353573</v>
      </c>
      <c r="Q23" s="35">
        <v>353573</v>
      </c>
      <c r="R23" s="35"/>
      <c r="S23" s="43">
        <f t="shared" si="1"/>
        <v>353573</v>
      </c>
      <c r="T23" s="35"/>
      <c r="U23" s="35"/>
      <c r="V23" s="35"/>
      <c r="W23" s="35"/>
      <c r="X23" s="35"/>
      <c r="Y23" s="60" t="s">
        <v>309</v>
      </c>
    </row>
    <row r="24" spans="1:25" ht="75" x14ac:dyDescent="0.25">
      <c r="A24" t="s">
        <v>47</v>
      </c>
      <c r="B24" t="s">
        <v>47</v>
      </c>
      <c r="C24" t="s">
        <v>44</v>
      </c>
      <c r="D24" t="s">
        <v>45</v>
      </c>
      <c r="E24" t="s">
        <v>290</v>
      </c>
      <c r="F24" s="32" t="s">
        <v>50</v>
      </c>
      <c r="G24">
        <v>45</v>
      </c>
      <c r="H24" t="s">
        <v>48</v>
      </c>
      <c r="I24">
        <v>20</v>
      </c>
      <c r="K24" s="32" t="s">
        <v>54</v>
      </c>
      <c r="L24" s="35">
        <v>370000</v>
      </c>
      <c r="M24" s="35">
        <v>185000</v>
      </c>
      <c r="N24" s="35">
        <v>368900</v>
      </c>
      <c r="O24" s="35">
        <v>1100</v>
      </c>
      <c r="P24" s="35">
        <v>1100</v>
      </c>
      <c r="Q24" s="35">
        <v>1100</v>
      </c>
      <c r="R24" s="35"/>
      <c r="S24" s="43">
        <f t="shared" si="1"/>
        <v>1100</v>
      </c>
      <c r="T24" s="35"/>
      <c r="U24" s="35"/>
      <c r="V24" s="35"/>
      <c r="W24" s="35"/>
      <c r="X24" s="35"/>
      <c r="Y24" s="58" t="s">
        <v>259</v>
      </c>
    </row>
    <row r="25" spans="1:25" ht="90" x14ac:dyDescent="0.25">
      <c r="A25" t="s">
        <v>47</v>
      </c>
      <c r="B25" t="s">
        <v>47</v>
      </c>
      <c r="C25" t="s">
        <v>44</v>
      </c>
      <c r="D25" t="s">
        <v>45</v>
      </c>
      <c r="E25" t="s">
        <v>302</v>
      </c>
      <c r="F25" s="32" t="s">
        <v>55</v>
      </c>
      <c r="G25">
        <v>45</v>
      </c>
      <c r="H25" t="s">
        <v>48</v>
      </c>
      <c r="I25">
        <v>20</v>
      </c>
      <c r="K25" s="50" t="s">
        <v>363</v>
      </c>
      <c r="L25" s="35">
        <f>13168795+183000</f>
        <v>13351795</v>
      </c>
      <c r="M25" s="35">
        <v>78000</v>
      </c>
      <c r="N25" s="35">
        <f>13168795+183000</f>
        <v>13351795</v>
      </c>
      <c r="O25" s="35">
        <v>0</v>
      </c>
      <c r="P25" s="35"/>
      <c r="Q25" s="35"/>
      <c r="R25" s="35"/>
      <c r="S25" s="43">
        <f t="shared" si="1"/>
        <v>0</v>
      </c>
      <c r="T25" s="35"/>
      <c r="U25" s="35"/>
      <c r="V25" s="35"/>
      <c r="W25" s="35"/>
      <c r="X25" s="35"/>
      <c r="Y25" s="58"/>
    </row>
    <row r="26" spans="1:25" ht="75" x14ac:dyDescent="0.25">
      <c r="A26" t="s">
        <v>47</v>
      </c>
      <c r="B26" t="s">
        <v>47</v>
      </c>
      <c r="C26" t="s">
        <v>44</v>
      </c>
      <c r="D26" t="s">
        <v>45</v>
      </c>
      <c r="E26" t="s">
        <v>302</v>
      </c>
      <c r="F26" s="32" t="s">
        <v>55</v>
      </c>
      <c r="G26">
        <v>45</v>
      </c>
      <c r="H26" t="s">
        <v>48</v>
      </c>
      <c r="I26">
        <v>20</v>
      </c>
      <c r="K26" s="50" t="s">
        <v>335</v>
      </c>
      <c r="L26" s="35">
        <f>25000+74000+528000+250404</f>
        <v>877404</v>
      </c>
      <c r="M26" s="35">
        <f>250404</f>
        <v>250404</v>
      </c>
      <c r="N26" s="35">
        <f>19776+73578.5+527889.74</f>
        <v>621244.24</v>
      </c>
      <c r="O26" s="35">
        <f>L26-N26</f>
        <v>256159.76</v>
      </c>
      <c r="P26" s="35">
        <f>O26</f>
        <v>256159.76</v>
      </c>
      <c r="Q26" s="35">
        <f>P26</f>
        <v>256159.76</v>
      </c>
      <c r="R26" s="35"/>
      <c r="S26" s="43">
        <f t="shared" si="1"/>
        <v>256159.76</v>
      </c>
      <c r="T26" s="35"/>
      <c r="U26" s="35"/>
      <c r="V26" s="35"/>
      <c r="W26" s="35"/>
      <c r="X26" s="35"/>
      <c r="Y26" s="58" t="s">
        <v>336</v>
      </c>
    </row>
    <row r="27" spans="1:25" ht="75" x14ac:dyDescent="0.25">
      <c r="A27" t="s">
        <v>47</v>
      </c>
      <c r="B27" t="s">
        <v>47</v>
      </c>
      <c r="C27" t="s">
        <v>44</v>
      </c>
      <c r="D27" t="s">
        <v>45</v>
      </c>
      <c r="E27" t="s">
        <v>302</v>
      </c>
      <c r="F27" s="32" t="s">
        <v>55</v>
      </c>
      <c r="G27">
        <v>45</v>
      </c>
      <c r="H27" t="s">
        <v>48</v>
      </c>
      <c r="I27">
        <v>20</v>
      </c>
      <c r="K27" s="32" t="s">
        <v>56</v>
      </c>
      <c r="L27" s="35">
        <v>696050</v>
      </c>
      <c r="M27" s="35">
        <v>228050</v>
      </c>
      <c r="N27" s="35">
        <v>689250</v>
      </c>
      <c r="O27" s="35">
        <v>6800</v>
      </c>
      <c r="P27" s="35">
        <v>6800</v>
      </c>
      <c r="Q27" s="35">
        <v>6800</v>
      </c>
      <c r="R27" s="35"/>
      <c r="S27" s="43">
        <f t="shared" si="1"/>
        <v>6800</v>
      </c>
      <c r="T27" s="35"/>
      <c r="U27" s="35"/>
      <c r="V27" s="35"/>
      <c r="W27" s="35"/>
      <c r="X27" s="35"/>
      <c r="Y27" s="58" t="s">
        <v>351</v>
      </c>
    </row>
    <row r="28" spans="1:25" ht="75" x14ac:dyDescent="0.25">
      <c r="A28" t="s">
        <v>47</v>
      </c>
      <c r="B28" t="s">
        <v>47</v>
      </c>
      <c r="C28" t="s">
        <v>44</v>
      </c>
      <c r="D28" t="s">
        <v>45</v>
      </c>
      <c r="E28" t="s">
        <v>302</v>
      </c>
      <c r="F28" s="32" t="s">
        <v>55</v>
      </c>
      <c r="G28">
        <v>45</v>
      </c>
      <c r="H28" t="s">
        <v>48</v>
      </c>
      <c r="I28">
        <v>20</v>
      </c>
      <c r="K28" s="32" t="s">
        <v>57</v>
      </c>
      <c r="L28" s="35">
        <v>309200</v>
      </c>
      <c r="M28" s="35">
        <v>94200</v>
      </c>
      <c r="N28" s="35">
        <v>246408.1</v>
      </c>
      <c r="O28" s="35">
        <v>62791.899999999994</v>
      </c>
      <c r="P28" s="35">
        <v>62791.899999999994</v>
      </c>
      <c r="Q28" s="35">
        <v>62791.899999999994</v>
      </c>
      <c r="R28" s="35"/>
      <c r="S28" s="43">
        <f t="shared" si="1"/>
        <v>62791.899999999994</v>
      </c>
      <c r="T28" s="35"/>
      <c r="U28" s="35"/>
      <c r="V28" s="35"/>
      <c r="W28" s="35"/>
      <c r="X28" s="35"/>
      <c r="Y28" s="58" t="s">
        <v>270</v>
      </c>
    </row>
    <row r="29" spans="1:25" ht="60" x14ac:dyDescent="0.25">
      <c r="A29" t="s">
        <v>47</v>
      </c>
      <c r="B29" t="s">
        <v>47</v>
      </c>
      <c r="C29" t="s">
        <v>44</v>
      </c>
      <c r="D29" t="s">
        <v>45</v>
      </c>
      <c r="E29" t="s">
        <v>297</v>
      </c>
      <c r="F29" s="32" t="s">
        <v>58</v>
      </c>
      <c r="G29">
        <v>45</v>
      </c>
      <c r="H29" t="s">
        <v>48</v>
      </c>
      <c r="I29">
        <v>20</v>
      </c>
      <c r="J29" t="s">
        <v>59</v>
      </c>
      <c r="K29" s="32" t="s">
        <v>60</v>
      </c>
      <c r="L29" s="35">
        <v>413237</v>
      </c>
      <c r="M29" s="35">
        <v>413237</v>
      </c>
      <c r="N29" s="35">
        <v>413237</v>
      </c>
      <c r="O29" s="35">
        <v>0</v>
      </c>
      <c r="P29" s="35"/>
      <c r="Q29" s="35"/>
      <c r="R29" s="35"/>
      <c r="S29" s="43">
        <f t="shared" si="1"/>
        <v>0</v>
      </c>
      <c r="T29" s="35"/>
      <c r="U29" s="35"/>
      <c r="V29" s="35"/>
      <c r="W29" s="35"/>
      <c r="X29" s="35"/>
      <c r="Y29" s="58"/>
    </row>
    <row r="30" spans="1:25" ht="105" x14ac:dyDescent="0.25">
      <c r="A30" t="s">
        <v>47</v>
      </c>
      <c r="B30" t="s">
        <v>47</v>
      </c>
      <c r="C30" t="s">
        <v>44</v>
      </c>
      <c r="D30" t="s">
        <v>45</v>
      </c>
      <c r="E30" t="s">
        <v>297</v>
      </c>
      <c r="F30" s="32" t="s">
        <v>58</v>
      </c>
      <c r="G30">
        <v>45</v>
      </c>
      <c r="H30" t="s">
        <v>48</v>
      </c>
      <c r="I30">
        <v>20</v>
      </c>
      <c r="K30" s="32" t="s">
        <v>265</v>
      </c>
      <c r="L30" s="35">
        <v>1702595</v>
      </c>
      <c r="M30" s="35"/>
      <c r="N30" s="35">
        <v>1702595</v>
      </c>
      <c r="O30" s="35">
        <v>0</v>
      </c>
      <c r="P30" s="35"/>
      <c r="Q30" s="35"/>
      <c r="R30" s="35"/>
      <c r="S30" s="43">
        <f t="shared" si="1"/>
        <v>0</v>
      </c>
      <c r="T30" s="35"/>
      <c r="U30" s="35"/>
      <c r="V30" s="35"/>
      <c r="W30" s="35"/>
      <c r="X30" s="35"/>
      <c r="Y30" s="58"/>
    </row>
    <row r="31" spans="1:25" ht="75" x14ac:dyDescent="0.25">
      <c r="A31" t="s">
        <v>47</v>
      </c>
      <c r="B31" t="s">
        <v>47</v>
      </c>
      <c r="C31" t="s">
        <v>44</v>
      </c>
      <c r="D31" t="s">
        <v>45</v>
      </c>
      <c r="E31" t="s">
        <v>297</v>
      </c>
      <c r="F31" s="32" t="s">
        <v>58</v>
      </c>
      <c r="G31">
        <v>45</v>
      </c>
      <c r="H31" t="s">
        <v>48</v>
      </c>
      <c r="I31">
        <v>20</v>
      </c>
      <c r="K31" s="32" t="s">
        <v>61</v>
      </c>
      <c r="L31" s="35">
        <v>586365</v>
      </c>
      <c r="M31" s="35">
        <v>18501</v>
      </c>
      <c r="N31" s="35">
        <v>582865.47</v>
      </c>
      <c r="O31" s="35">
        <v>3499.5300000000279</v>
      </c>
      <c r="P31" s="35">
        <v>3499.53</v>
      </c>
      <c r="Q31" s="35">
        <v>3499.53</v>
      </c>
      <c r="R31" s="35"/>
      <c r="S31" s="43">
        <f t="shared" si="1"/>
        <v>3499.53</v>
      </c>
      <c r="T31" s="35"/>
      <c r="U31" s="35"/>
      <c r="V31" s="35"/>
      <c r="W31" s="35"/>
      <c r="X31" s="35"/>
      <c r="Y31" s="58" t="s">
        <v>318</v>
      </c>
    </row>
    <row r="32" spans="1:25" ht="90" x14ac:dyDescent="0.25">
      <c r="A32" t="s">
        <v>47</v>
      </c>
      <c r="B32" t="s">
        <v>47</v>
      </c>
      <c r="C32" t="s">
        <v>44</v>
      </c>
      <c r="D32" t="s">
        <v>45</v>
      </c>
      <c r="E32" t="s">
        <v>289</v>
      </c>
      <c r="F32" s="32" t="s">
        <v>62</v>
      </c>
      <c r="G32">
        <v>55</v>
      </c>
      <c r="H32" t="s">
        <v>86</v>
      </c>
      <c r="I32">
        <v>20</v>
      </c>
      <c r="K32" s="32" t="s">
        <v>280</v>
      </c>
      <c r="L32" s="35">
        <v>116000</v>
      </c>
      <c r="M32" s="35"/>
      <c r="N32" s="35">
        <v>109176.98</v>
      </c>
      <c r="O32" s="35">
        <v>6823.0200000000041</v>
      </c>
      <c r="P32" s="35">
        <v>6823.0200000000041</v>
      </c>
      <c r="Q32" s="35">
        <v>6823.0200000000041</v>
      </c>
      <c r="R32" s="35"/>
      <c r="S32" s="43">
        <f t="shared" si="1"/>
        <v>6823.0200000000041</v>
      </c>
      <c r="T32" s="35"/>
      <c r="U32" s="35"/>
      <c r="V32" s="35"/>
      <c r="W32" s="35"/>
      <c r="X32" s="35"/>
      <c r="Y32" s="58" t="s">
        <v>403</v>
      </c>
    </row>
    <row r="33" spans="1:25" ht="90" x14ac:dyDescent="0.25">
      <c r="A33" t="s">
        <v>47</v>
      </c>
      <c r="B33" t="s">
        <v>47</v>
      </c>
      <c r="C33" t="s">
        <v>44</v>
      </c>
      <c r="D33" t="s">
        <v>45</v>
      </c>
      <c r="E33" t="s">
        <v>289</v>
      </c>
      <c r="F33" s="32" t="s">
        <v>62</v>
      </c>
      <c r="G33">
        <v>45</v>
      </c>
      <c r="H33" t="s">
        <v>48</v>
      </c>
      <c r="I33">
        <v>20</v>
      </c>
      <c r="K33" s="32" t="s">
        <v>63</v>
      </c>
      <c r="L33" s="35">
        <v>294082</v>
      </c>
      <c r="M33" s="35">
        <v>2082</v>
      </c>
      <c r="N33" s="35">
        <v>289505.84999999998</v>
      </c>
      <c r="O33" s="35">
        <v>4576.1500000000233</v>
      </c>
      <c r="P33" s="35">
        <v>4576.1500000000233</v>
      </c>
      <c r="Q33" s="35">
        <v>4576.1500000000233</v>
      </c>
      <c r="R33" s="35"/>
      <c r="S33" s="43">
        <f t="shared" si="1"/>
        <v>4576.1500000000233</v>
      </c>
      <c r="T33" s="35"/>
      <c r="U33" s="35"/>
      <c r="V33" s="35"/>
      <c r="W33" s="35"/>
      <c r="X33" s="35"/>
      <c r="Y33" s="58" t="s">
        <v>342</v>
      </c>
    </row>
    <row r="34" spans="1:25" ht="60" x14ac:dyDescent="0.25">
      <c r="A34" t="s">
        <v>47</v>
      </c>
      <c r="B34" t="s">
        <v>47</v>
      </c>
      <c r="C34" t="s">
        <v>44</v>
      </c>
      <c r="D34" t="s">
        <v>45</v>
      </c>
      <c r="E34" t="s">
        <v>300</v>
      </c>
      <c r="F34" s="32" t="s">
        <v>64</v>
      </c>
      <c r="G34">
        <v>45</v>
      </c>
      <c r="H34" t="s">
        <v>48</v>
      </c>
      <c r="I34">
        <v>20</v>
      </c>
      <c r="J34" s="70" t="s">
        <v>198</v>
      </c>
      <c r="K34" s="32" t="s">
        <v>199</v>
      </c>
      <c r="L34" s="35">
        <v>1949305</v>
      </c>
      <c r="M34" s="35"/>
      <c r="N34" s="35">
        <v>1949305</v>
      </c>
      <c r="O34" s="35">
        <v>0</v>
      </c>
      <c r="P34" s="35"/>
      <c r="Q34" s="35"/>
      <c r="R34" s="35"/>
      <c r="S34" s="43">
        <f t="shared" si="1"/>
        <v>0</v>
      </c>
      <c r="T34" s="35"/>
      <c r="U34" s="35"/>
      <c r="V34" s="35"/>
      <c r="W34" s="35"/>
      <c r="X34" s="35"/>
      <c r="Y34" s="58"/>
    </row>
    <row r="35" spans="1:25" ht="60" x14ac:dyDescent="0.25">
      <c r="A35" t="s">
        <v>47</v>
      </c>
      <c r="B35" t="s">
        <v>47</v>
      </c>
      <c r="C35" t="s">
        <v>44</v>
      </c>
      <c r="D35" t="s">
        <v>45</v>
      </c>
      <c r="E35" t="s">
        <v>300</v>
      </c>
      <c r="F35" s="32" t="s">
        <v>64</v>
      </c>
      <c r="G35">
        <v>45</v>
      </c>
      <c r="H35" t="s">
        <v>48</v>
      </c>
      <c r="I35">
        <v>20</v>
      </c>
      <c r="J35" t="s">
        <v>200</v>
      </c>
      <c r="K35" s="32" t="s">
        <v>201</v>
      </c>
      <c r="L35" s="35">
        <v>42226487</v>
      </c>
      <c r="M35" s="35"/>
      <c r="N35" s="35">
        <v>42226487</v>
      </c>
      <c r="O35" s="35">
        <v>0</v>
      </c>
      <c r="P35" s="35"/>
      <c r="Q35" s="35"/>
      <c r="R35" s="35"/>
      <c r="S35" s="43">
        <f t="shared" si="1"/>
        <v>0</v>
      </c>
      <c r="T35" s="35"/>
      <c r="U35" s="35"/>
      <c r="V35" s="35"/>
      <c r="W35" s="35"/>
      <c r="X35" s="35"/>
      <c r="Y35" s="58"/>
    </row>
    <row r="36" spans="1:25" ht="60" x14ac:dyDescent="0.25">
      <c r="A36" t="s">
        <v>47</v>
      </c>
      <c r="B36" t="s">
        <v>47</v>
      </c>
      <c r="C36" t="s">
        <v>44</v>
      </c>
      <c r="D36" t="s">
        <v>45</v>
      </c>
      <c r="E36" t="s">
        <v>300</v>
      </c>
      <c r="F36" s="32" t="s">
        <v>64</v>
      </c>
      <c r="G36">
        <v>45</v>
      </c>
      <c r="H36" t="s">
        <v>48</v>
      </c>
      <c r="I36">
        <v>20</v>
      </c>
      <c r="J36" t="s">
        <v>202</v>
      </c>
      <c r="K36" s="32" t="s">
        <v>203</v>
      </c>
      <c r="L36" s="35">
        <v>1000000</v>
      </c>
      <c r="M36" s="35"/>
      <c r="N36" s="35">
        <v>1000000</v>
      </c>
      <c r="O36" s="35">
        <v>0</v>
      </c>
      <c r="P36" s="35"/>
      <c r="Q36" s="35"/>
      <c r="R36" s="35"/>
      <c r="S36" s="43">
        <f t="shared" si="1"/>
        <v>0</v>
      </c>
      <c r="T36" s="35"/>
      <c r="U36" s="35"/>
      <c r="V36" s="35"/>
      <c r="W36" s="35"/>
      <c r="X36" s="35"/>
      <c r="Y36" s="58"/>
    </row>
    <row r="37" spans="1:25" ht="60" x14ac:dyDescent="0.25">
      <c r="A37" t="s">
        <v>47</v>
      </c>
      <c r="B37" t="s">
        <v>47</v>
      </c>
      <c r="C37" t="s">
        <v>44</v>
      </c>
      <c r="D37" t="s">
        <v>45</v>
      </c>
      <c r="E37" t="s">
        <v>300</v>
      </c>
      <c r="F37" s="32" t="s">
        <v>64</v>
      </c>
      <c r="G37">
        <v>45</v>
      </c>
      <c r="H37" t="s">
        <v>48</v>
      </c>
      <c r="I37">
        <v>20</v>
      </c>
      <c r="J37" t="s">
        <v>204</v>
      </c>
      <c r="K37" s="32" t="s">
        <v>205</v>
      </c>
      <c r="L37" s="35">
        <v>106080</v>
      </c>
      <c r="M37" s="35"/>
      <c r="N37" s="35">
        <v>67825.490000000005</v>
      </c>
      <c r="O37" s="35">
        <v>38254.509999999995</v>
      </c>
      <c r="P37" s="35">
        <v>38254.51</v>
      </c>
      <c r="Q37" s="35">
        <v>38254.51</v>
      </c>
      <c r="R37" s="35"/>
      <c r="S37" s="43">
        <f t="shared" si="1"/>
        <v>38254.51</v>
      </c>
      <c r="T37" s="35"/>
      <c r="U37" s="35"/>
      <c r="V37" s="35"/>
      <c r="W37" s="35"/>
      <c r="X37" s="35"/>
      <c r="Y37" s="58" t="s">
        <v>321</v>
      </c>
    </row>
    <row r="38" spans="1:25" ht="60" x14ac:dyDescent="0.25">
      <c r="A38" t="s">
        <v>47</v>
      </c>
      <c r="B38" t="s">
        <v>47</v>
      </c>
      <c r="C38" t="s">
        <v>44</v>
      </c>
      <c r="D38" t="s">
        <v>45</v>
      </c>
      <c r="E38" t="s">
        <v>300</v>
      </c>
      <c r="F38" s="32" t="s">
        <v>64</v>
      </c>
      <c r="G38">
        <v>45</v>
      </c>
      <c r="H38" t="s">
        <v>48</v>
      </c>
      <c r="I38">
        <v>20</v>
      </c>
      <c r="K38" s="32" t="s">
        <v>65</v>
      </c>
      <c r="L38" s="35">
        <v>7000</v>
      </c>
      <c r="M38" s="35">
        <v>7000</v>
      </c>
      <c r="N38" s="35"/>
      <c r="O38" s="35">
        <v>7000</v>
      </c>
      <c r="P38" s="35">
        <f>O38-7000</f>
        <v>0</v>
      </c>
      <c r="Q38" s="35">
        <v>0</v>
      </c>
      <c r="R38" s="35"/>
      <c r="S38" s="43">
        <f t="shared" si="1"/>
        <v>0</v>
      </c>
      <c r="T38" s="35"/>
      <c r="U38" s="35"/>
      <c r="V38" s="35"/>
      <c r="W38" s="35"/>
      <c r="X38" s="35">
        <f>O38</f>
        <v>7000</v>
      </c>
      <c r="Y38" s="58" t="s">
        <v>322</v>
      </c>
    </row>
    <row r="39" spans="1:25" ht="75" x14ac:dyDescent="0.25">
      <c r="A39" t="s">
        <v>47</v>
      </c>
      <c r="B39" t="s">
        <v>47</v>
      </c>
      <c r="C39" t="s">
        <v>44</v>
      </c>
      <c r="D39" t="s">
        <v>45</v>
      </c>
      <c r="E39" t="s">
        <v>304</v>
      </c>
      <c r="F39" s="32" t="s">
        <v>66</v>
      </c>
      <c r="G39">
        <v>45</v>
      </c>
      <c r="H39" t="s">
        <v>48</v>
      </c>
      <c r="I39">
        <v>20</v>
      </c>
      <c r="K39" s="32" t="s">
        <v>236</v>
      </c>
      <c r="L39" s="35">
        <v>1489997</v>
      </c>
      <c r="M39" s="35"/>
      <c r="N39" s="35">
        <v>1489997</v>
      </c>
      <c r="O39" s="35">
        <v>0</v>
      </c>
      <c r="P39" s="35"/>
      <c r="Q39" s="35"/>
      <c r="R39" s="35"/>
      <c r="S39" s="43">
        <f t="shared" si="1"/>
        <v>0</v>
      </c>
      <c r="T39" s="35"/>
      <c r="U39" s="35"/>
      <c r="V39" s="35"/>
      <c r="W39" s="35"/>
      <c r="X39" s="35"/>
      <c r="Y39" s="58"/>
    </row>
    <row r="40" spans="1:25" ht="75" x14ac:dyDescent="0.25">
      <c r="A40" t="s">
        <v>47</v>
      </c>
      <c r="B40" t="s">
        <v>47</v>
      </c>
      <c r="C40" t="s">
        <v>44</v>
      </c>
      <c r="D40" t="s">
        <v>45</v>
      </c>
      <c r="E40" t="s">
        <v>304</v>
      </c>
      <c r="F40" s="32" t="s">
        <v>66</v>
      </c>
      <c r="G40">
        <v>45</v>
      </c>
      <c r="H40" t="s">
        <v>48</v>
      </c>
      <c r="I40">
        <v>20</v>
      </c>
      <c r="K40" s="32" t="s">
        <v>222</v>
      </c>
      <c r="L40" s="35">
        <v>104186</v>
      </c>
      <c r="M40" s="35"/>
      <c r="N40" s="35">
        <v>103217</v>
      </c>
      <c r="O40" s="35">
        <v>969</v>
      </c>
      <c r="P40" s="35">
        <v>969</v>
      </c>
      <c r="Q40" s="35">
        <v>969</v>
      </c>
      <c r="R40" s="35"/>
      <c r="S40" s="43">
        <f t="shared" si="1"/>
        <v>969</v>
      </c>
      <c r="T40" s="35"/>
      <c r="U40" s="35"/>
      <c r="V40" s="35"/>
      <c r="W40" s="35"/>
      <c r="X40" s="35"/>
      <c r="Y40" s="58" t="s">
        <v>274</v>
      </c>
    </row>
    <row r="41" spans="1:25" ht="75" x14ac:dyDescent="0.25">
      <c r="A41" t="s">
        <v>47</v>
      </c>
      <c r="B41" t="s">
        <v>47</v>
      </c>
      <c r="C41" t="s">
        <v>44</v>
      </c>
      <c r="D41" t="s">
        <v>45</v>
      </c>
      <c r="E41" t="s">
        <v>304</v>
      </c>
      <c r="F41" s="32" t="s">
        <v>66</v>
      </c>
      <c r="G41">
        <v>45</v>
      </c>
      <c r="H41" t="s">
        <v>48</v>
      </c>
      <c r="I41">
        <v>20</v>
      </c>
      <c r="K41" s="32" t="s">
        <v>235</v>
      </c>
      <c r="L41" s="35">
        <v>2025000</v>
      </c>
      <c r="M41" s="35"/>
      <c r="N41" s="35">
        <v>2023772.29</v>
      </c>
      <c r="O41" s="35">
        <v>1227.7099999999627</v>
      </c>
      <c r="P41" s="35">
        <v>1227.7099999999627</v>
      </c>
      <c r="Q41" s="35">
        <v>1227.7099999999627</v>
      </c>
      <c r="R41" s="35"/>
      <c r="S41" s="43">
        <f t="shared" si="1"/>
        <v>1227.7099999999627</v>
      </c>
      <c r="T41" s="35"/>
      <c r="U41" s="35"/>
      <c r="V41" s="35"/>
      <c r="W41" s="35"/>
      <c r="X41" s="35"/>
      <c r="Y41" s="58" t="s">
        <v>273</v>
      </c>
    </row>
    <row r="42" spans="1:25" ht="75" x14ac:dyDescent="0.25">
      <c r="A42" t="s">
        <v>47</v>
      </c>
      <c r="B42" t="s">
        <v>47</v>
      </c>
      <c r="C42" t="s">
        <v>44</v>
      </c>
      <c r="D42" t="s">
        <v>45</v>
      </c>
      <c r="E42" t="s">
        <v>304</v>
      </c>
      <c r="F42" s="32" t="s">
        <v>66</v>
      </c>
      <c r="G42">
        <v>45</v>
      </c>
      <c r="H42" t="s">
        <v>48</v>
      </c>
      <c r="I42">
        <v>20</v>
      </c>
      <c r="J42" t="s">
        <v>233</v>
      </c>
      <c r="K42" s="32" t="s">
        <v>234</v>
      </c>
      <c r="L42" s="35">
        <v>101770</v>
      </c>
      <c r="M42" s="35"/>
      <c r="N42" s="35">
        <v>101770</v>
      </c>
      <c r="O42" s="35">
        <v>0</v>
      </c>
      <c r="P42" s="35"/>
      <c r="Q42" s="35"/>
      <c r="R42" s="35"/>
      <c r="S42" s="43">
        <f t="shared" si="1"/>
        <v>0</v>
      </c>
      <c r="T42" s="35"/>
      <c r="U42" s="35"/>
      <c r="V42" s="35"/>
      <c r="W42" s="35"/>
      <c r="X42" s="35"/>
      <c r="Y42" s="58"/>
    </row>
    <row r="43" spans="1:25" ht="75" x14ac:dyDescent="0.25">
      <c r="A43" t="s">
        <v>47</v>
      </c>
      <c r="B43" t="s">
        <v>47</v>
      </c>
      <c r="C43" t="s">
        <v>44</v>
      </c>
      <c r="D43" t="s">
        <v>45</v>
      </c>
      <c r="E43" t="s">
        <v>304</v>
      </c>
      <c r="F43" s="32" t="s">
        <v>66</v>
      </c>
      <c r="G43">
        <v>45</v>
      </c>
      <c r="H43" t="s">
        <v>48</v>
      </c>
      <c r="I43">
        <v>20</v>
      </c>
      <c r="J43" t="s">
        <v>67</v>
      </c>
      <c r="K43" s="32" t="s">
        <v>232</v>
      </c>
      <c r="L43" s="35">
        <v>9821640</v>
      </c>
      <c r="M43" s="35"/>
      <c r="N43" s="35">
        <v>9821640</v>
      </c>
      <c r="O43" s="35">
        <v>0</v>
      </c>
      <c r="P43" s="35"/>
      <c r="Q43" s="35"/>
      <c r="R43" s="35"/>
      <c r="S43" s="43">
        <f t="shared" si="1"/>
        <v>0</v>
      </c>
      <c r="T43" s="35"/>
      <c r="U43" s="35"/>
      <c r="V43" s="35"/>
      <c r="W43" s="35"/>
      <c r="X43" s="35"/>
      <c r="Y43" s="58"/>
    </row>
    <row r="44" spans="1:25" ht="75" x14ac:dyDescent="0.25">
      <c r="A44" t="s">
        <v>47</v>
      </c>
      <c r="B44" t="s">
        <v>47</v>
      </c>
      <c r="C44" t="s">
        <v>44</v>
      </c>
      <c r="D44" t="s">
        <v>45</v>
      </c>
      <c r="E44" t="s">
        <v>304</v>
      </c>
      <c r="F44" s="32" t="s">
        <v>66</v>
      </c>
      <c r="G44">
        <v>45</v>
      </c>
      <c r="H44" t="s">
        <v>48</v>
      </c>
      <c r="I44">
        <v>20</v>
      </c>
      <c r="J44" t="s">
        <v>183</v>
      </c>
      <c r="K44" s="32" t="s">
        <v>231</v>
      </c>
      <c r="L44" s="35">
        <v>535314.63</v>
      </c>
      <c r="M44" s="35"/>
      <c r="N44" s="35">
        <v>535314.63</v>
      </c>
      <c r="O44" s="35">
        <v>0</v>
      </c>
      <c r="P44" s="35"/>
      <c r="Q44" s="35"/>
      <c r="R44" s="35"/>
      <c r="S44" s="43">
        <f t="shared" si="1"/>
        <v>0</v>
      </c>
      <c r="T44" s="35"/>
      <c r="U44" s="35"/>
      <c r="V44" s="35"/>
      <c r="W44" s="35"/>
      <c r="X44" s="35"/>
      <c r="Y44" s="58"/>
    </row>
    <row r="45" spans="1:25" ht="75" x14ac:dyDescent="0.25">
      <c r="A45" t="s">
        <v>47</v>
      </c>
      <c r="B45" t="s">
        <v>47</v>
      </c>
      <c r="C45" t="s">
        <v>44</v>
      </c>
      <c r="D45" t="s">
        <v>45</v>
      </c>
      <c r="E45" t="s">
        <v>304</v>
      </c>
      <c r="F45" s="32" t="s">
        <v>66</v>
      </c>
      <c r="G45">
        <v>45</v>
      </c>
      <c r="H45" t="s">
        <v>48</v>
      </c>
      <c r="I45">
        <v>20</v>
      </c>
      <c r="J45" t="s">
        <v>100</v>
      </c>
      <c r="K45" s="32" t="s">
        <v>230</v>
      </c>
      <c r="L45" s="35">
        <v>235867</v>
      </c>
      <c r="M45" s="35"/>
      <c r="N45" s="35">
        <v>235867</v>
      </c>
      <c r="O45" s="35">
        <v>0</v>
      </c>
      <c r="P45" s="35"/>
      <c r="Q45" s="35"/>
      <c r="R45" s="35"/>
      <c r="S45" s="43">
        <f t="shared" si="1"/>
        <v>0</v>
      </c>
      <c r="T45" s="35"/>
      <c r="U45" s="35"/>
      <c r="V45" s="35"/>
      <c r="W45" s="35"/>
      <c r="X45" s="35"/>
      <c r="Y45" s="58"/>
    </row>
    <row r="46" spans="1:25" ht="75" x14ac:dyDescent="0.25">
      <c r="A46" t="s">
        <v>47</v>
      </c>
      <c r="B46" t="s">
        <v>47</v>
      </c>
      <c r="C46" t="s">
        <v>44</v>
      </c>
      <c r="D46" t="s">
        <v>45</v>
      </c>
      <c r="E46" t="s">
        <v>304</v>
      </c>
      <c r="F46" s="32" t="s">
        <v>66</v>
      </c>
      <c r="G46">
        <v>45</v>
      </c>
      <c r="H46" t="s">
        <v>48</v>
      </c>
      <c r="I46">
        <v>20</v>
      </c>
      <c r="J46" t="s">
        <v>67</v>
      </c>
      <c r="K46" s="32" t="s">
        <v>68</v>
      </c>
      <c r="L46" s="35">
        <v>81197.17</v>
      </c>
      <c r="M46" s="35">
        <v>31197.17</v>
      </c>
      <c r="N46" s="35">
        <v>81197.17</v>
      </c>
      <c r="O46" s="35">
        <v>0</v>
      </c>
      <c r="P46" s="35"/>
      <c r="Q46" s="35"/>
      <c r="R46" s="35"/>
      <c r="S46" s="43">
        <f t="shared" si="1"/>
        <v>0</v>
      </c>
      <c r="T46" s="35"/>
      <c r="U46" s="35"/>
      <c r="V46" s="35"/>
      <c r="W46" s="35"/>
      <c r="X46" s="35"/>
      <c r="Y46" s="58"/>
    </row>
    <row r="47" spans="1:25" ht="75" x14ac:dyDescent="0.25">
      <c r="A47" t="s">
        <v>47</v>
      </c>
      <c r="B47" t="s">
        <v>47</v>
      </c>
      <c r="C47" t="s">
        <v>44</v>
      </c>
      <c r="D47" t="s">
        <v>45</v>
      </c>
      <c r="E47" t="s">
        <v>304</v>
      </c>
      <c r="F47" s="32" t="s">
        <v>66</v>
      </c>
      <c r="G47">
        <v>45</v>
      </c>
      <c r="H47" t="s">
        <v>48</v>
      </c>
      <c r="I47">
        <v>20</v>
      </c>
      <c r="J47" s="70" t="s">
        <v>69</v>
      </c>
      <c r="K47" s="32" t="s">
        <v>70</v>
      </c>
      <c r="L47" s="35">
        <v>25666572</v>
      </c>
      <c r="M47" s="35">
        <v>3300000</v>
      </c>
      <c r="N47" s="35">
        <v>19211429.219999999</v>
      </c>
      <c r="O47" s="35">
        <v>6455142.7800000012</v>
      </c>
      <c r="P47" s="35">
        <v>6455142.7800000012</v>
      </c>
      <c r="Q47" s="35">
        <v>6455142.7800000012</v>
      </c>
      <c r="R47" s="35"/>
      <c r="S47" s="43">
        <f t="shared" si="1"/>
        <v>6455142.7800000012</v>
      </c>
      <c r="T47" s="35"/>
      <c r="U47" s="35"/>
      <c r="V47" s="35"/>
      <c r="W47" s="35"/>
      <c r="X47" s="35"/>
      <c r="Y47" s="58" t="s">
        <v>352</v>
      </c>
    </row>
    <row r="48" spans="1:25" ht="75" x14ac:dyDescent="0.25">
      <c r="A48" t="s">
        <v>47</v>
      </c>
      <c r="B48" t="s">
        <v>47</v>
      </c>
      <c r="C48" t="s">
        <v>44</v>
      </c>
      <c r="D48" t="s">
        <v>45</v>
      </c>
      <c r="E48" t="s">
        <v>304</v>
      </c>
      <c r="F48" s="32" t="s">
        <v>66</v>
      </c>
      <c r="G48">
        <v>45</v>
      </c>
      <c r="H48" t="s">
        <v>48</v>
      </c>
      <c r="I48">
        <v>20</v>
      </c>
      <c r="K48" s="32" t="s">
        <v>71</v>
      </c>
      <c r="L48" s="35">
        <v>753211.72</v>
      </c>
      <c r="M48" s="35">
        <v>253211.72</v>
      </c>
      <c r="N48" s="35">
        <v>488899.7</v>
      </c>
      <c r="O48" s="35">
        <v>264312.01999999996</v>
      </c>
      <c r="P48" s="35">
        <v>264312.01999999996</v>
      </c>
      <c r="Q48" s="35">
        <v>264312.01999999996</v>
      </c>
      <c r="R48" s="35"/>
      <c r="S48" s="43">
        <f t="shared" si="1"/>
        <v>264312.01999999996</v>
      </c>
      <c r="T48" s="35"/>
      <c r="U48" s="35"/>
      <c r="V48" s="35"/>
      <c r="W48" s="35"/>
      <c r="X48" s="35"/>
      <c r="Y48" s="58" t="s">
        <v>364</v>
      </c>
    </row>
    <row r="49" spans="1:25" ht="75" x14ac:dyDescent="0.25">
      <c r="A49" t="s">
        <v>47</v>
      </c>
      <c r="B49" t="s">
        <v>140</v>
      </c>
      <c r="C49" t="s">
        <v>44</v>
      </c>
      <c r="D49" t="s">
        <v>45</v>
      </c>
      <c r="E49" t="s">
        <v>305</v>
      </c>
      <c r="F49" s="32" t="s">
        <v>72</v>
      </c>
      <c r="G49">
        <v>55</v>
      </c>
      <c r="H49" t="s">
        <v>86</v>
      </c>
      <c r="I49">
        <v>20</v>
      </c>
      <c r="J49" t="s">
        <v>183</v>
      </c>
      <c r="K49" s="32" t="s">
        <v>186</v>
      </c>
      <c r="L49" s="35">
        <v>166875.59</v>
      </c>
      <c r="M49" s="35"/>
      <c r="N49" s="35">
        <v>159672.6</v>
      </c>
      <c r="O49" s="35">
        <v>7202.9899999999907</v>
      </c>
      <c r="P49" s="35"/>
      <c r="Q49" s="35"/>
      <c r="R49" s="35"/>
      <c r="S49" s="43">
        <f t="shared" si="1"/>
        <v>0</v>
      </c>
      <c r="T49" s="35"/>
      <c r="U49" s="35"/>
      <c r="V49" s="35"/>
      <c r="W49" s="35"/>
      <c r="X49" s="35">
        <f>O49</f>
        <v>7202.9899999999907</v>
      </c>
      <c r="Y49" s="58" t="s">
        <v>267</v>
      </c>
    </row>
    <row r="50" spans="1:25" ht="75" x14ac:dyDescent="0.25">
      <c r="A50" t="s">
        <v>47</v>
      </c>
      <c r="B50" t="s">
        <v>47</v>
      </c>
      <c r="C50" t="s">
        <v>44</v>
      </c>
      <c r="D50" t="s">
        <v>45</v>
      </c>
      <c r="E50" t="s">
        <v>305</v>
      </c>
      <c r="F50" s="32" t="s">
        <v>72</v>
      </c>
      <c r="G50">
        <v>45</v>
      </c>
      <c r="H50" t="s">
        <v>48</v>
      </c>
      <c r="I50">
        <v>20</v>
      </c>
      <c r="K50" s="32" t="s">
        <v>237</v>
      </c>
      <c r="L50" s="35">
        <v>753804</v>
      </c>
      <c r="M50" s="35"/>
      <c r="N50" s="35">
        <v>753804</v>
      </c>
      <c r="O50" s="35">
        <v>0</v>
      </c>
      <c r="P50" s="35"/>
      <c r="Q50" s="35"/>
      <c r="R50" s="35"/>
      <c r="S50" s="43">
        <f t="shared" si="1"/>
        <v>0</v>
      </c>
      <c r="T50" s="35"/>
      <c r="U50" s="35"/>
      <c r="V50" s="35"/>
      <c r="W50" s="35"/>
      <c r="X50" s="35"/>
      <c r="Y50" s="58"/>
    </row>
    <row r="51" spans="1:25" ht="90" x14ac:dyDescent="0.25">
      <c r="A51" t="s">
        <v>47</v>
      </c>
      <c r="B51" t="s">
        <v>47</v>
      </c>
      <c r="C51" t="s">
        <v>44</v>
      </c>
      <c r="D51" t="s">
        <v>45</v>
      </c>
      <c r="E51" t="s">
        <v>305</v>
      </c>
      <c r="F51" s="32" t="s">
        <v>72</v>
      </c>
      <c r="G51">
        <v>45</v>
      </c>
      <c r="H51" t="s">
        <v>48</v>
      </c>
      <c r="I51">
        <v>20</v>
      </c>
      <c r="K51" s="32" t="s">
        <v>73</v>
      </c>
      <c r="L51" s="35">
        <v>1043611</v>
      </c>
      <c r="M51" s="35">
        <v>43611</v>
      </c>
      <c r="N51" s="35">
        <v>965051.19</v>
      </c>
      <c r="O51" s="35">
        <v>78559.810000000056</v>
      </c>
      <c r="P51" s="35">
        <v>78559.810000000056</v>
      </c>
      <c r="Q51" s="35">
        <v>78559.810000000056</v>
      </c>
      <c r="R51" s="35"/>
      <c r="S51" s="43">
        <f t="shared" si="1"/>
        <v>78559.810000000056</v>
      </c>
      <c r="T51" s="35"/>
      <c r="U51" s="35"/>
      <c r="V51" s="35"/>
      <c r="W51" s="35"/>
      <c r="X51" s="35"/>
      <c r="Y51" s="58" t="s">
        <v>368</v>
      </c>
    </row>
    <row r="52" spans="1:25" ht="75" x14ac:dyDescent="0.25">
      <c r="A52" t="s">
        <v>47</v>
      </c>
      <c r="B52" t="s">
        <v>47</v>
      </c>
      <c r="C52" t="s">
        <v>44</v>
      </c>
      <c r="D52" t="s">
        <v>45</v>
      </c>
      <c r="E52" t="s">
        <v>305</v>
      </c>
      <c r="F52" s="32" t="s">
        <v>72</v>
      </c>
      <c r="G52">
        <v>45</v>
      </c>
      <c r="H52" t="s">
        <v>48</v>
      </c>
      <c r="I52">
        <v>20</v>
      </c>
      <c r="K52" s="50" t="s">
        <v>400</v>
      </c>
      <c r="L52" s="35">
        <v>94353</v>
      </c>
      <c r="M52" s="35">
        <v>94353</v>
      </c>
      <c r="N52" s="35"/>
      <c r="O52" s="35">
        <v>94353</v>
      </c>
      <c r="P52" s="35">
        <v>94353</v>
      </c>
      <c r="Q52" s="35">
        <v>94353</v>
      </c>
      <c r="R52" s="35"/>
      <c r="S52" s="43">
        <f t="shared" si="1"/>
        <v>94353</v>
      </c>
      <c r="T52" s="35"/>
      <c r="U52" s="35"/>
      <c r="V52" s="35"/>
      <c r="W52" s="35"/>
      <c r="X52" s="35"/>
      <c r="Y52" s="58" t="s">
        <v>337</v>
      </c>
    </row>
    <row r="53" spans="1:25" ht="75" x14ac:dyDescent="0.25">
      <c r="A53" t="s">
        <v>47</v>
      </c>
      <c r="B53" t="s">
        <v>47</v>
      </c>
      <c r="C53" t="s">
        <v>44</v>
      </c>
      <c r="D53" t="s">
        <v>45</v>
      </c>
      <c r="E53" t="s">
        <v>301</v>
      </c>
      <c r="F53" s="32" t="s">
        <v>74</v>
      </c>
      <c r="G53">
        <v>45</v>
      </c>
      <c r="H53" t="s">
        <v>48</v>
      </c>
      <c r="I53">
        <v>20</v>
      </c>
      <c r="J53" t="s">
        <v>183</v>
      </c>
      <c r="K53" s="32" t="s">
        <v>257</v>
      </c>
      <c r="L53" s="35">
        <v>12299419.470000001</v>
      </c>
      <c r="M53" s="35"/>
      <c r="N53" s="35">
        <v>12162189.01</v>
      </c>
      <c r="O53" s="35">
        <v>137230.46000000089</v>
      </c>
      <c r="P53" s="35"/>
      <c r="Q53" s="35"/>
      <c r="R53" s="35"/>
      <c r="S53" s="43">
        <f t="shared" si="1"/>
        <v>0</v>
      </c>
      <c r="T53" s="35"/>
      <c r="U53" s="35"/>
      <c r="V53" s="35"/>
      <c r="W53" s="35"/>
      <c r="X53" s="35">
        <f>O53</f>
        <v>137230.46000000089</v>
      </c>
      <c r="Y53" s="58" t="s">
        <v>267</v>
      </c>
    </row>
    <row r="54" spans="1:25" ht="75" x14ac:dyDescent="0.25">
      <c r="A54" t="s">
        <v>47</v>
      </c>
      <c r="B54" t="s">
        <v>47</v>
      </c>
      <c r="C54" t="s">
        <v>44</v>
      </c>
      <c r="D54" t="s">
        <v>45</v>
      </c>
      <c r="E54" t="s">
        <v>301</v>
      </c>
      <c r="F54" s="32" t="s">
        <v>74</v>
      </c>
      <c r="G54">
        <v>45</v>
      </c>
      <c r="H54" t="s">
        <v>48</v>
      </c>
      <c r="I54">
        <v>20</v>
      </c>
      <c r="K54" s="32" t="s">
        <v>75</v>
      </c>
      <c r="L54" s="35">
        <v>472673.33</v>
      </c>
      <c r="M54" s="35">
        <v>40536.92</v>
      </c>
      <c r="N54" s="35">
        <v>472673.33</v>
      </c>
      <c r="O54" s="35">
        <v>0</v>
      </c>
      <c r="P54" s="35"/>
      <c r="Q54" s="35"/>
      <c r="R54" s="35"/>
      <c r="S54" s="43">
        <f t="shared" si="1"/>
        <v>0</v>
      </c>
      <c r="T54" s="35"/>
      <c r="U54" s="35"/>
      <c r="V54" s="35"/>
      <c r="W54" s="35"/>
      <c r="X54" s="35"/>
      <c r="Y54" s="58"/>
    </row>
    <row r="55" spans="1:25" ht="75" x14ac:dyDescent="0.25">
      <c r="A55" t="s">
        <v>47</v>
      </c>
      <c r="B55" t="s">
        <v>47</v>
      </c>
      <c r="C55" t="s">
        <v>44</v>
      </c>
      <c r="D55" t="s">
        <v>45</v>
      </c>
      <c r="E55" t="s">
        <v>301</v>
      </c>
      <c r="F55" s="32" t="s">
        <v>74</v>
      </c>
      <c r="G55">
        <v>45</v>
      </c>
      <c r="H55" t="s">
        <v>48</v>
      </c>
      <c r="I55">
        <v>20</v>
      </c>
      <c r="K55" s="32" t="s">
        <v>76</v>
      </c>
      <c r="L55" s="35">
        <v>214135.19</v>
      </c>
      <c r="M55" s="35">
        <v>2872.99</v>
      </c>
      <c r="N55" s="35">
        <v>214135.19</v>
      </c>
      <c r="O55" s="35">
        <v>0</v>
      </c>
      <c r="P55" s="35"/>
      <c r="Q55" s="35"/>
      <c r="R55" s="35"/>
      <c r="S55" s="43">
        <f t="shared" si="1"/>
        <v>0</v>
      </c>
      <c r="T55" s="35"/>
      <c r="U55" s="35"/>
      <c r="V55" s="35"/>
      <c r="W55" s="35"/>
      <c r="X55" s="35"/>
      <c r="Y55" s="58"/>
    </row>
    <row r="56" spans="1:25" ht="75" x14ac:dyDescent="0.25">
      <c r="A56" t="s">
        <v>47</v>
      </c>
      <c r="B56" t="s">
        <v>47</v>
      </c>
      <c r="C56" t="s">
        <v>44</v>
      </c>
      <c r="D56" t="s">
        <v>45</v>
      </c>
      <c r="E56" t="s">
        <v>301</v>
      </c>
      <c r="F56" s="32" t="s">
        <v>74</v>
      </c>
      <c r="G56">
        <v>45</v>
      </c>
      <c r="H56" t="s">
        <v>48</v>
      </c>
      <c r="I56">
        <v>20</v>
      </c>
      <c r="K56" s="32" t="s">
        <v>77</v>
      </c>
      <c r="L56" s="35">
        <v>738844.52</v>
      </c>
      <c r="M56" s="35">
        <v>7220.22</v>
      </c>
      <c r="N56" s="35">
        <v>738844.52</v>
      </c>
      <c r="O56" s="35">
        <v>0</v>
      </c>
      <c r="P56" s="35"/>
      <c r="Q56" s="35"/>
      <c r="R56" s="35"/>
      <c r="S56" s="43">
        <f t="shared" si="1"/>
        <v>0</v>
      </c>
      <c r="T56" s="35"/>
      <c r="U56" s="35"/>
      <c r="V56" s="35"/>
      <c r="W56" s="35"/>
      <c r="X56" s="35"/>
      <c r="Y56" s="58"/>
    </row>
    <row r="57" spans="1:25" ht="75" x14ac:dyDescent="0.25">
      <c r="A57" t="s">
        <v>47</v>
      </c>
      <c r="B57" t="s">
        <v>47</v>
      </c>
      <c r="C57" t="s">
        <v>44</v>
      </c>
      <c r="D57" t="s">
        <v>45</v>
      </c>
      <c r="E57" t="s">
        <v>301</v>
      </c>
      <c r="F57" s="32" t="s">
        <v>74</v>
      </c>
      <c r="G57">
        <v>45</v>
      </c>
      <c r="H57" t="s">
        <v>48</v>
      </c>
      <c r="I57">
        <v>20</v>
      </c>
      <c r="J57" t="s">
        <v>78</v>
      </c>
      <c r="K57" s="32" t="s">
        <v>79</v>
      </c>
      <c r="L57" s="35">
        <v>20000</v>
      </c>
      <c r="M57" s="35">
        <v>20000</v>
      </c>
      <c r="N57" s="35">
        <v>20000</v>
      </c>
      <c r="O57" s="35">
        <v>0</v>
      </c>
      <c r="P57" s="35"/>
      <c r="Q57" s="35"/>
      <c r="R57" s="35"/>
      <c r="S57" s="43">
        <f t="shared" si="1"/>
        <v>0</v>
      </c>
      <c r="T57" s="35"/>
      <c r="U57" s="35"/>
      <c r="V57" s="35"/>
      <c r="W57" s="35"/>
      <c r="X57" s="35"/>
      <c r="Y57" s="61"/>
    </row>
    <row r="58" spans="1:25" ht="75" x14ac:dyDescent="0.25">
      <c r="A58" t="s">
        <v>47</v>
      </c>
      <c r="B58" t="s">
        <v>47</v>
      </c>
      <c r="C58" t="s">
        <v>44</v>
      </c>
      <c r="D58" t="s">
        <v>45</v>
      </c>
      <c r="E58" t="s">
        <v>301</v>
      </c>
      <c r="F58" s="32" t="s">
        <v>74</v>
      </c>
      <c r="G58">
        <v>45</v>
      </c>
      <c r="H58" t="s">
        <v>48</v>
      </c>
      <c r="I58">
        <v>20</v>
      </c>
      <c r="K58" s="32" t="s">
        <v>80</v>
      </c>
      <c r="L58" s="35">
        <v>125678.5</v>
      </c>
      <c r="M58" s="35">
        <v>125678.5</v>
      </c>
      <c r="N58" s="35">
        <v>125678.5</v>
      </c>
      <c r="O58" s="35">
        <v>0</v>
      </c>
      <c r="P58" s="35"/>
      <c r="Q58" s="35"/>
      <c r="R58" s="35"/>
      <c r="S58" s="43">
        <f t="shared" si="1"/>
        <v>0</v>
      </c>
      <c r="T58" s="35"/>
      <c r="U58" s="35"/>
      <c r="V58" s="35"/>
      <c r="W58" s="35"/>
      <c r="X58" s="35"/>
      <c r="Y58" s="58"/>
    </row>
    <row r="59" spans="1:25" ht="75" x14ac:dyDescent="0.25">
      <c r="A59" t="s">
        <v>47</v>
      </c>
      <c r="B59" t="s">
        <v>47</v>
      </c>
      <c r="C59" t="s">
        <v>44</v>
      </c>
      <c r="D59" t="s">
        <v>45</v>
      </c>
      <c r="E59" t="s">
        <v>301</v>
      </c>
      <c r="F59" s="32" t="s">
        <v>74</v>
      </c>
      <c r="G59">
        <v>45</v>
      </c>
      <c r="H59" t="s">
        <v>48</v>
      </c>
      <c r="I59">
        <v>20</v>
      </c>
      <c r="J59" t="s">
        <v>82</v>
      </c>
      <c r="K59" s="32" t="s">
        <v>81</v>
      </c>
      <c r="L59" s="35">
        <v>5023.99</v>
      </c>
      <c r="M59" s="35">
        <v>5023.99</v>
      </c>
      <c r="N59" s="35"/>
      <c r="O59" s="35">
        <v>5023.99</v>
      </c>
      <c r="P59" s="47">
        <f>O59-5023.99</f>
        <v>0</v>
      </c>
      <c r="Q59" s="35">
        <v>0</v>
      </c>
      <c r="R59" s="35"/>
      <c r="S59" s="43">
        <f t="shared" si="1"/>
        <v>0</v>
      </c>
      <c r="T59" s="35"/>
      <c r="U59" s="35"/>
      <c r="V59" s="35"/>
      <c r="W59" s="35"/>
      <c r="X59" s="35">
        <f>O59</f>
        <v>5023.99</v>
      </c>
      <c r="Y59" s="58" t="s">
        <v>322</v>
      </c>
    </row>
    <row r="60" spans="1:25" ht="45" x14ac:dyDescent="0.25">
      <c r="A60" t="s">
        <v>47</v>
      </c>
      <c r="B60" t="s">
        <v>47</v>
      </c>
      <c r="C60" t="s">
        <v>44</v>
      </c>
      <c r="D60" t="s">
        <v>45</v>
      </c>
      <c r="E60" t="s">
        <v>295</v>
      </c>
      <c r="F60" s="32" t="s">
        <v>84</v>
      </c>
      <c r="G60">
        <v>45</v>
      </c>
      <c r="H60" t="s">
        <v>48</v>
      </c>
      <c r="I60">
        <v>20</v>
      </c>
      <c r="K60" s="32" t="s">
        <v>85</v>
      </c>
      <c r="L60" s="35">
        <v>69.69</v>
      </c>
      <c r="M60" s="35">
        <v>69.69</v>
      </c>
      <c r="N60" s="35"/>
      <c r="O60" s="35">
        <v>69.69</v>
      </c>
      <c r="P60" s="35">
        <v>0</v>
      </c>
      <c r="Q60" s="35">
        <v>0</v>
      </c>
      <c r="R60" s="35"/>
      <c r="S60" s="43">
        <f t="shared" si="1"/>
        <v>0</v>
      </c>
      <c r="T60" s="35"/>
      <c r="U60" s="35"/>
      <c r="V60" s="35"/>
      <c r="W60" s="35"/>
      <c r="X60" s="35">
        <v>69.69</v>
      </c>
      <c r="Y60" s="58" t="s">
        <v>262</v>
      </c>
    </row>
    <row r="61" spans="1:25" ht="303" customHeight="1" x14ac:dyDescent="0.25">
      <c r="A61" t="s">
        <v>47</v>
      </c>
      <c r="B61" t="s">
        <v>47</v>
      </c>
      <c r="C61" t="s">
        <v>44</v>
      </c>
      <c r="D61" t="s">
        <v>45</v>
      </c>
      <c r="E61" t="s">
        <v>295</v>
      </c>
      <c r="F61" s="32" t="s">
        <v>84</v>
      </c>
      <c r="G61">
        <v>55</v>
      </c>
      <c r="H61" t="s">
        <v>86</v>
      </c>
      <c r="I61">
        <v>20</v>
      </c>
      <c r="K61" s="32" t="s">
        <v>87</v>
      </c>
      <c r="L61" s="35">
        <v>41435</v>
      </c>
      <c r="M61" s="35">
        <v>21435</v>
      </c>
      <c r="N61" s="35">
        <v>253.22</v>
      </c>
      <c r="O61" s="35">
        <v>41181.78</v>
      </c>
      <c r="P61" s="35">
        <v>20000</v>
      </c>
      <c r="Q61" s="35">
        <v>20000</v>
      </c>
      <c r="R61" s="35"/>
      <c r="S61" s="43">
        <f t="shared" si="1"/>
        <v>20000</v>
      </c>
      <c r="T61" s="35"/>
      <c r="U61" s="35"/>
      <c r="V61" s="35"/>
      <c r="W61" s="35"/>
      <c r="X61" s="35">
        <v>21181.78</v>
      </c>
      <c r="Y61" s="58" t="s">
        <v>317</v>
      </c>
    </row>
    <row r="62" spans="1:25" ht="75" x14ac:dyDescent="0.25">
      <c r="A62" t="s">
        <v>47</v>
      </c>
      <c r="B62" t="s">
        <v>47</v>
      </c>
      <c r="C62" t="s">
        <v>44</v>
      </c>
      <c r="D62" t="s">
        <v>45</v>
      </c>
      <c r="E62" t="s">
        <v>296</v>
      </c>
      <c r="F62" s="32" t="s">
        <v>88</v>
      </c>
      <c r="G62">
        <v>45</v>
      </c>
      <c r="H62" t="s">
        <v>48</v>
      </c>
      <c r="I62">
        <v>20</v>
      </c>
      <c r="K62" s="32" t="s">
        <v>263</v>
      </c>
      <c r="L62" s="35">
        <v>5151000</v>
      </c>
      <c r="M62" s="35"/>
      <c r="N62" s="35">
        <v>5151000</v>
      </c>
      <c r="O62" s="35">
        <v>0</v>
      </c>
      <c r="P62" s="35"/>
      <c r="Q62" s="35"/>
      <c r="R62" s="35"/>
      <c r="S62" s="43">
        <f t="shared" si="1"/>
        <v>0</v>
      </c>
      <c r="T62" s="35"/>
      <c r="U62" s="35"/>
      <c r="V62" s="35"/>
      <c r="W62" s="35"/>
      <c r="X62" s="35"/>
      <c r="Y62" s="58"/>
    </row>
    <row r="63" spans="1:25" ht="75" x14ac:dyDescent="0.25">
      <c r="A63" t="s">
        <v>47</v>
      </c>
      <c r="B63" t="s">
        <v>47</v>
      </c>
      <c r="C63" t="s">
        <v>44</v>
      </c>
      <c r="D63" t="s">
        <v>45</v>
      </c>
      <c r="E63" t="s">
        <v>296</v>
      </c>
      <c r="F63" s="32" t="s">
        <v>88</v>
      </c>
      <c r="G63">
        <v>45</v>
      </c>
      <c r="H63" t="s">
        <v>48</v>
      </c>
      <c r="I63">
        <v>20</v>
      </c>
      <c r="K63" s="32" t="s">
        <v>196</v>
      </c>
      <c r="L63" s="35">
        <v>100000</v>
      </c>
      <c r="M63" s="35"/>
      <c r="N63" s="35">
        <v>99929.19</v>
      </c>
      <c r="O63" s="35">
        <v>70.809999999997672</v>
      </c>
      <c r="P63" s="35">
        <v>70.809999999997672</v>
      </c>
      <c r="Q63" s="35">
        <f>P63-70.81</f>
        <v>-2.3305801732931286E-12</v>
      </c>
      <c r="R63" s="35"/>
      <c r="S63" s="43">
        <f t="shared" si="1"/>
        <v>-2.3305801732931286E-12</v>
      </c>
      <c r="T63" s="35"/>
      <c r="U63" s="35"/>
      <c r="V63" s="35"/>
      <c r="W63" s="35"/>
      <c r="X63" s="35">
        <v>70.81</v>
      </c>
      <c r="Y63" s="58"/>
    </row>
    <row r="64" spans="1:25" ht="97.5" customHeight="1" x14ac:dyDescent="0.25">
      <c r="A64" t="s">
        <v>47</v>
      </c>
      <c r="B64" t="s">
        <v>47</v>
      </c>
      <c r="C64" t="s">
        <v>44</v>
      </c>
      <c r="D64" t="s">
        <v>45</v>
      </c>
      <c r="E64" t="s">
        <v>296</v>
      </c>
      <c r="F64" s="32" t="s">
        <v>88</v>
      </c>
      <c r="G64">
        <v>45</v>
      </c>
      <c r="H64" t="s">
        <v>48</v>
      </c>
      <c r="I64">
        <v>20</v>
      </c>
      <c r="K64" s="32" t="s">
        <v>89</v>
      </c>
      <c r="L64" s="35">
        <v>938603.25</v>
      </c>
      <c r="M64" s="35">
        <v>158603.25</v>
      </c>
      <c r="N64" s="35">
        <v>869499.45</v>
      </c>
      <c r="O64" s="35">
        <v>69103.800000000047</v>
      </c>
      <c r="P64" s="35">
        <v>69103.800000000047</v>
      </c>
      <c r="Q64" s="35">
        <f>P64-0.8</f>
        <v>69103.000000000044</v>
      </c>
      <c r="R64" s="35"/>
      <c r="S64" s="43">
        <f t="shared" si="1"/>
        <v>69103.000000000044</v>
      </c>
      <c r="T64" s="35"/>
      <c r="U64" s="35"/>
      <c r="V64" s="35"/>
      <c r="W64" s="35"/>
      <c r="X64" s="35">
        <v>0.8</v>
      </c>
      <c r="Y64" s="58" t="s">
        <v>264</v>
      </c>
    </row>
    <row r="65" spans="1:25" ht="103.5" customHeight="1" x14ac:dyDescent="0.25">
      <c r="A65" t="s">
        <v>47</v>
      </c>
      <c r="B65" t="s">
        <v>47</v>
      </c>
      <c r="C65" t="s">
        <v>44</v>
      </c>
      <c r="D65" t="s">
        <v>45</v>
      </c>
      <c r="E65" t="s">
        <v>296</v>
      </c>
      <c r="F65" s="32" t="s">
        <v>88</v>
      </c>
      <c r="G65">
        <v>45</v>
      </c>
      <c r="H65" t="s">
        <v>48</v>
      </c>
      <c r="I65">
        <v>20</v>
      </c>
      <c r="K65" s="32" t="s">
        <v>90</v>
      </c>
      <c r="L65" s="35">
        <v>256796</v>
      </c>
      <c r="M65" s="35">
        <v>116015</v>
      </c>
      <c r="N65" s="35">
        <v>132444.31</v>
      </c>
      <c r="O65" s="35">
        <v>124351.69</v>
      </c>
      <c r="P65" s="35">
        <v>124351.69</v>
      </c>
      <c r="Q65" s="35">
        <f>P65-0.69</f>
        <v>124351</v>
      </c>
      <c r="R65" s="35"/>
      <c r="S65" s="43">
        <f t="shared" si="1"/>
        <v>124351</v>
      </c>
      <c r="T65" s="35"/>
      <c r="U65" s="35"/>
      <c r="V65" s="35"/>
      <c r="W65" s="35"/>
      <c r="X65" s="35">
        <v>0.69</v>
      </c>
      <c r="Y65" s="58" t="s">
        <v>264</v>
      </c>
    </row>
    <row r="66" spans="1:25" ht="75" x14ac:dyDescent="0.25">
      <c r="A66" t="s">
        <v>47</v>
      </c>
      <c r="B66" t="s">
        <v>47</v>
      </c>
      <c r="C66" t="s">
        <v>44</v>
      </c>
      <c r="D66" t="s">
        <v>45</v>
      </c>
      <c r="E66" t="s">
        <v>296</v>
      </c>
      <c r="F66" s="32" t="s">
        <v>88</v>
      </c>
      <c r="G66">
        <v>45</v>
      </c>
      <c r="H66" t="s">
        <v>48</v>
      </c>
      <c r="I66">
        <v>20</v>
      </c>
      <c r="J66" t="s">
        <v>91</v>
      </c>
      <c r="K66" s="32" t="s">
        <v>92</v>
      </c>
      <c r="L66" s="35">
        <v>556731</v>
      </c>
      <c r="M66" s="35">
        <v>12331</v>
      </c>
      <c r="N66" s="35">
        <v>512586.36</v>
      </c>
      <c r="O66" s="35">
        <v>44144.640000000014</v>
      </c>
      <c r="P66" s="35">
        <v>44144.639999999999</v>
      </c>
      <c r="Q66" s="35">
        <v>44144.639999999999</v>
      </c>
      <c r="R66" s="35"/>
      <c r="S66" s="43">
        <f t="shared" si="1"/>
        <v>44144.639999999999</v>
      </c>
      <c r="T66" s="35"/>
      <c r="U66" s="35"/>
      <c r="V66" s="35"/>
      <c r="W66" s="35"/>
      <c r="X66" s="35"/>
      <c r="Y66" s="58" t="s">
        <v>344</v>
      </c>
    </row>
    <row r="67" spans="1:25" ht="90" x14ac:dyDescent="0.25">
      <c r="A67" t="s">
        <v>47</v>
      </c>
      <c r="B67" t="s">
        <v>47</v>
      </c>
      <c r="C67" t="s">
        <v>44</v>
      </c>
      <c r="D67" t="s">
        <v>45</v>
      </c>
      <c r="E67" t="s">
        <v>296</v>
      </c>
      <c r="F67" s="32" t="s">
        <v>88</v>
      </c>
      <c r="G67">
        <v>55</v>
      </c>
      <c r="H67" t="s">
        <v>86</v>
      </c>
      <c r="I67">
        <v>20</v>
      </c>
      <c r="K67" s="50" t="s">
        <v>345</v>
      </c>
      <c r="L67" s="35">
        <v>869032</v>
      </c>
      <c r="M67" s="35">
        <v>38597</v>
      </c>
      <c r="N67" s="35">
        <v>797458.9</v>
      </c>
      <c r="O67" s="35">
        <v>71573.099999999977</v>
      </c>
      <c r="P67" s="35">
        <v>71573.099999999977</v>
      </c>
      <c r="Q67" s="35">
        <f>P67-0.1</f>
        <v>71572.999999999971</v>
      </c>
      <c r="R67" s="35"/>
      <c r="S67" s="43">
        <f t="shared" si="1"/>
        <v>71572.999999999971</v>
      </c>
      <c r="T67" s="35"/>
      <c r="U67" s="35"/>
      <c r="V67" s="35"/>
      <c r="W67" s="35"/>
      <c r="X67" s="35">
        <v>0.1</v>
      </c>
      <c r="Y67" s="58" t="s">
        <v>279</v>
      </c>
    </row>
    <row r="68" spans="1:25" ht="75" x14ac:dyDescent="0.25">
      <c r="A68" t="s">
        <v>47</v>
      </c>
      <c r="B68" t="s">
        <v>47</v>
      </c>
      <c r="C68" t="s">
        <v>44</v>
      </c>
      <c r="D68" t="s">
        <v>45</v>
      </c>
      <c r="E68" t="s">
        <v>294</v>
      </c>
      <c r="F68" s="32" t="s">
        <v>93</v>
      </c>
      <c r="G68" s="11">
        <v>41</v>
      </c>
      <c r="H68" t="s">
        <v>106</v>
      </c>
      <c r="I68">
        <v>20</v>
      </c>
      <c r="K68" s="32" t="s">
        <v>190</v>
      </c>
      <c r="L68" s="35">
        <v>5801</v>
      </c>
      <c r="M68" s="35"/>
      <c r="N68" s="35">
        <v>5800.02</v>
      </c>
      <c r="O68" s="35">
        <v>0.97999999999956344</v>
      </c>
      <c r="P68" s="35"/>
      <c r="Q68" s="35"/>
      <c r="R68" s="35"/>
      <c r="S68" s="43">
        <f t="shared" si="1"/>
        <v>0</v>
      </c>
      <c r="T68" s="35"/>
      <c r="U68" s="35"/>
      <c r="V68" s="35"/>
      <c r="W68" s="35"/>
      <c r="X68" s="35">
        <f>O68</f>
        <v>0.97999999999956344</v>
      </c>
      <c r="Y68" s="58"/>
    </row>
    <row r="69" spans="1:25" ht="132" customHeight="1" x14ac:dyDescent="0.25">
      <c r="A69" t="s">
        <v>47</v>
      </c>
      <c r="B69" t="s">
        <v>47</v>
      </c>
      <c r="C69" t="s">
        <v>44</v>
      </c>
      <c r="D69" t="s">
        <v>45</v>
      </c>
      <c r="E69" t="s">
        <v>294</v>
      </c>
      <c r="F69" s="32" t="s">
        <v>93</v>
      </c>
      <c r="G69">
        <v>45</v>
      </c>
      <c r="H69" t="s">
        <v>48</v>
      </c>
      <c r="I69">
        <v>20</v>
      </c>
      <c r="K69" s="50" t="s">
        <v>343</v>
      </c>
      <c r="L69" s="35">
        <f>131284+40000+18000+5385275+2277950</f>
        <v>7852509</v>
      </c>
      <c r="M69" s="35">
        <f>84259+40000+2416990+2086962</f>
        <v>4628211</v>
      </c>
      <c r="N69" s="35">
        <f>40072+40000+850+1058066.54+2086961.8</f>
        <v>3225950.34</v>
      </c>
      <c r="O69" s="35">
        <f>L69-N69</f>
        <v>4626558.66</v>
      </c>
      <c r="P69" s="35">
        <f>O69</f>
        <v>4626558.66</v>
      </c>
      <c r="Q69" s="35">
        <f>P69-1200000</f>
        <v>3426558.66</v>
      </c>
      <c r="R69" s="35">
        <v>1200000</v>
      </c>
      <c r="S69" s="43">
        <f>Q69+R69</f>
        <v>4626558.66</v>
      </c>
      <c r="T69" s="35"/>
      <c r="U69" s="35"/>
      <c r="V69" s="35"/>
      <c r="W69" s="35"/>
      <c r="X69" s="35"/>
      <c r="Y69" s="64" t="s">
        <v>372</v>
      </c>
    </row>
    <row r="70" spans="1:25" ht="97.9" customHeight="1" x14ac:dyDescent="0.25">
      <c r="A70" t="s">
        <v>47</v>
      </c>
      <c r="B70" t="s">
        <v>47</v>
      </c>
      <c r="C70" t="s">
        <v>44</v>
      </c>
      <c r="D70" t="s">
        <v>45</v>
      </c>
      <c r="E70" t="s">
        <v>294</v>
      </c>
      <c r="F70" s="32" t="s">
        <v>93</v>
      </c>
      <c r="G70">
        <v>45</v>
      </c>
      <c r="H70" t="s">
        <v>48</v>
      </c>
      <c r="I70">
        <v>20</v>
      </c>
      <c r="K70" s="32" t="s">
        <v>193</v>
      </c>
      <c r="L70" s="35">
        <v>405000</v>
      </c>
      <c r="M70" s="35"/>
      <c r="N70" s="35">
        <v>12454.28</v>
      </c>
      <c r="O70" s="35">
        <v>392545.72</v>
      </c>
      <c r="P70" s="35">
        <v>392545.72</v>
      </c>
      <c r="Q70" s="35">
        <v>392545.72</v>
      </c>
      <c r="R70" s="35"/>
      <c r="S70" s="43">
        <f t="shared" ref="S70:S120" si="2">Q70+R70</f>
        <v>392545.72</v>
      </c>
      <c r="T70" s="35"/>
      <c r="U70" s="35"/>
      <c r="V70" s="35"/>
      <c r="W70" s="35"/>
      <c r="X70" s="35"/>
      <c r="Y70" s="58" t="s">
        <v>373</v>
      </c>
    </row>
    <row r="71" spans="1:25" ht="75" x14ac:dyDescent="0.25">
      <c r="A71" t="s">
        <v>47</v>
      </c>
      <c r="B71" t="s">
        <v>47</v>
      </c>
      <c r="C71" t="s">
        <v>44</v>
      </c>
      <c r="D71" t="s">
        <v>45</v>
      </c>
      <c r="E71" t="s">
        <v>294</v>
      </c>
      <c r="F71" s="32" t="s">
        <v>93</v>
      </c>
      <c r="G71">
        <v>45</v>
      </c>
      <c r="H71" t="s">
        <v>48</v>
      </c>
      <c r="I71">
        <v>20</v>
      </c>
      <c r="K71" s="32" t="s">
        <v>94</v>
      </c>
      <c r="L71" s="35">
        <v>388096.97</v>
      </c>
      <c r="M71" s="35">
        <v>388096.97</v>
      </c>
      <c r="N71" s="35">
        <v>382925.20999999996</v>
      </c>
      <c r="O71" s="35">
        <v>5171.7600000000093</v>
      </c>
      <c r="P71" s="35">
        <v>5171.7600000000093</v>
      </c>
      <c r="Q71" s="35">
        <v>9.0949470177292824E-12</v>
      </c>
      <c r="R71" s="35"/>
      <c r="S71" s="43">
        <f t="shared" si="2"/>
        <v>9.0949470177292824E-12</v>
      </c>
      <c r="T71" s="35"/>
      <c r="U71" s="35"/>
      <c r="V71" s="35"/>
      <c r="W71" s="35"/>
      <c r="X71" s="35">
        <f>P71</f>
        <v>5171.7600000000093</v>
      </c>
      <c r="Y71" s="58" t="s">
        <v>374</v>
      </c>
    </row>
    <row r="72" spans="1:25" ht="292.5" customHeight="1" x14ac:dyDescent="0.25">
      <c r="A72" t="s">
        <v>47</v>
      </c>
      <c r="B72" t="s">
        <v>47</v>
      </c>
      <c r="C72" t="s">
        <v>44</v>
      </c>
      <c r="D72" t="s">
        <v>45</v>
      </c>
      <c r="E72" t="s">
        <v>294</v>
      </c>
      <c r="F72" s="32" t="s">
        <v>93</v>
      </c>
      <c r="G72">
        <v>45</v>
      </c>
      <c r="H72" t="s">
        <v>48</v>
      </c>
      <c r="I72">
        <v>20</v>
      </c>
      <c r="K72" s="32" t="s">
        <v>95</v>
      </c>
      <c r="L72" s="35">
        <v>1493533</v>
      </c>
      <c r="M72" s="35">
        <v>1493533</v>
      </c>
      <c r="N72" s="35">
        <v>225675</v>
      </c>
      <c r="O72" s="35">
        <v>1267858</v>
      </c>
      <c r="P72" s="35">
        <v>1267858</v>
      </c>
      <c r="Q72" s="35">
        <v>1267858</v>
      </c>
      <c r="R72" s="35"/>
      <c r="S72" s="43">
        <f t="shared" si="2"/>
        <v>1267858</v>
      </c>
      <c r="T72" s="35"/>
      <c r="U72" s="35"/>
      <c r="V72" s="35"/>
      <c r="W72" s="35"/>
      <c r="X72" s="35"/>
      <c r="Y72" s="60" t="s">
        <v>375</v>
      </c>
    </row>
    <row r="73" spans="1:25" ht="75" x14ac:dyDescent="0.25">
      <c r="A73" t="s">
        <v>47</v>
      </c>
      <c r="B73" t="s">
        <v>47</v>
      </c>
      <c r="C73" t="s">
        <v>44</v>
      </c>
      <c r="D73" t="s">
        <v>45</v>
      </c>
      <c r="E73" t="s">
        <v>294</v>
      </c>
      <c r="F73" s="32" t="s">
        <v>93</v>
      </c>
      <c r="G73">
        <v>45</v>
      </c>
      <c r="H73" t="s">
        <v>48</v>
      </c>
      <c r="I73">
        <v>20</v>
      </c>
      <c r="J73" t="s">
        <v>96</v>
      </c>
      <c r="K73" s="32" t="s">
        <v>97</v>
      </c>
      <c r="L73" s="35">
        <v>265200</v>
      </c>
      <c r="M73" s="35">
        <v>265200</v>
      </c>
      <c r="N73" s="35">
        <v>190000</v>
      </c>
      <c r="O73" s="35">
        <v>75200</v>
      </c>
      <c r="P73" s="35">
        <v>0</v>
      </c>
      <c r="Q73" s="35"/>
      <c r="R73" s="35"/>
      <c r="S73" s="43">
        <f t="shared" si="2"/>
        <v>0</v>
      </c>
      <c r="T73" s="35"/>
      <c r="U73" s="35">
        <f>O73</f>
        <v>75200</v>
      </c>
      <c r="V73" s="35"/>
      <c r="W73" s="35"/>
      <c r="X73" s="35"/>
      <c r="Y73" s="58" t="s">
        <v>376</v>
      </c>
    </row>
    <row r="74" spans="1:25" ht="75" x14ac:dyDescent="0.25">
      <c r="A74" t="s">
        <v>47</v>
      </c>
      <c r="B74" t="s">
        <v>47</v>
      </c>
      <c r="C74" t="s">
        <v>44</v>
      </c>
      <c r="D74" t="s">
        <v>45</v>
      </c>
      <c r="E74" t="s">
        <v>294</v>
      </c>
      <c r="F74" s="32" t="s">
        <v>93</v>
      </c>
      <c r="G74">
        <v>45</v>
      </c>
      <c r="H74" t="s">
        <v>48</v>
      </c>
      <c r="I74">
        <v>20</v>
      </c>
      <c r="J74" t="s">
        <v>96</v>
      </c>
      <c r="K74" s="32" t="s">
        <v>191</v>
      </c>
      <c r="L74" s="35">
        <v>70000</v>
      </c>
      <c r="M74" s="35">
        <v>70000</v>
      </c>
      <c r="N74" s="35">
        <v>52737.5</v>
      </c>
      <c r="O74" s="35">
        <v>17262.5</v>
      </c>
      <c r="P74" s="35">
        <v>0</v>
      </c>
      <c r="Q74" s="35"/>
      <c r="R74" s="35"/>
      <c r="S74" s="43">
        <f t="shared" si="2"/>
        <v>0</v>
      </c>
      <c r="T74" s="35"/>
      <c r="U74" s="35">
        <f>O74</f>
        <v>17262.5</v>
      </c>
      <c r="V74" s="35"/>
      <c r="W74" s="35"/>
      <c r="X74" s="35"/>
      <c r="Y74" s="58" t="s">
        <v>377</v>
      </c>
    </row>
    <row r="75" spans="1:25" ht="75" x14ac:dyDescent="0.25">
      <c r="A75" t="s">
        <v>47</v>
      </c>
      <c r="B75" t="s">
        <v>47</v>
      </c>
      <c r="C75" t="s">
        <v>44</v>
      </c>
      <c r="D75" t="s">
        <v>45</v>
      </c>
      <c r="E75" t="s">
        <v>294</v>
      </c>
      <c r="F75" s="32" t="s">
        <v>93</v>
      </c>
      <c r="G75">
        <v>45</v>
      </c>
      <c r="H75" t="s">
        <v>48</v>
      </c>
      <c r="I75">
        <v>20</v>
      </c>
      <c r="J75" t="s">
        <v>96</v>
      </c>
      <c r="K75" s="32" t="s">
        <v>192</v>
      </c>
      <c r="L75" s="35">
        <v>15500</v>
      </c>
      <c r="M75" s="35">
        <v>15500</v>
      </c>
      <c r="N75" s="35">
        <v>15460</v>
      </c>
      <c r="O75" s="35">
        <v>40</v>
      </c>
      <c r="P75" s="35">
        <v>0</v>
      </c>
      <c r="Q75" s="35"/>
      <c r="R75" s="35"/>
      <c r="S75" s="43">
        <f t="shared" si="2"/>
        <v>0</v>
      </c>
      <c r="T75" s="35"/>
      <c r="U75" s="35">
        <f>O75</f>
        <v>40</v>
      </c>
      <c r="V75" s="35"/>
      <c r="W75" s="35"/>
      <c r="X75" s="35"/>
      <c r="Y75" s="58" t="s">
        <v>377</v>
      </c>
    </row>
    <row r="76" spans="1:25" ht="75" x14ac:dyDescent="0.25">
      <c r="A76" t="s">
        <v>47</v>
      </c>
      <c r="B76" t="s">
        <v>47</v>
      </c>
      <c r="C76" t="s">
        <v>44</v>
      </c>
      <c r="D76" t="s">
        <v>45</v>
      </c>
      <c r="E76" t="s">
        <v>294</v>
      </c>
      <c r="F76" s="32" t="s">
        <v>93</v>
      </c>
      <c r="G76">
        <v>45</v>
      </c>
      <c r="H76" t="s">
        <v>48</v>
      </c>
      <c r="I76">
        <v>20</v>
      </c>
      <c r="J76" t="s">
        <v>96</v>
      </c>
      <c r="K76" s="32" t="s">
        <v>98</v>
      </c>
      <c r="L76" s="35">
        <v>949300</v>
      </c>
      <c r="M76" s="35">
        <v>949300</v>
      </c>
      <c r="N76" s="35">
        <v>949300</v>
      </c>
      <c r="O76" s="35">
        <v>0</v>
      </c>
      <c r="P76" s="35"/>
      <c r="Q76" s="35"/>
      <c r="R76" s="35"/>
      <c r="S76" s="43">
        <f t="shared" si="2"/>
        <v>0</v>
      </c>
      <c r="T76" s="35"/>
      <c r="U76" s="35"/>
      <c r="V76" s="35"/>
      <c r="W76" s="35"/>
      <c r="X76" s="35"/>
      <c r="Y76" s="58"/>
    </row>
    <row r="77" spans="1:25" ht="75" x14ac:dyDescent="0.25">
      <c r="A77" t="s">
        <v>47</v>
      </c>
      <c r="B77" t="s">
        <v>47</v>
      </c>
      <c r="C77" t="s">
        <v>44</v>
      </c>
      <c r="D77" t="s">
        <v>45</v>
      </c>
      <c r="E77" t="s">
        <v>294</v>
      </c>
      <c r="F77" s="32" t="s">
        <v>93</v>
      </c>
      <c r="G77">
        <v>45</v>
      </c>
      <c r="H77" t="s">
        <v>48</v>
      </c>
      <c r="I77">
        <v>20</v>
      </c>
      <c r="K77" s="32" t="s">
        <v>194</v>
      </c>
      <c r="L77" s="35">
        <v>118760</v>
      </c>
      <c r="M77" s="35"/>
      <c r="N77" s="35">
        <v>118760</v>
      </c>
      <c r="O77" s="35">
        <v>0</v>
      </c>
      <c r="P77" s="35"/>
      <c r="Q77" s="35"/>
      <c r="R77" s="35"/>
      <c r="S77" s="43">
        <f t="shared" si="2"/>
        <v>0</v>
      </c>
      <c r="T77" s="35"/>
      <c r="U77" s="35"/>
      <c r="V77" s="35"/>
      <c r="W77" s="35"/>
      <c r="X77" s="35"/>
      <c r="Y77" s="58"/>
    </row>
    <row r="78" spans="1:25" ht="180" x14ac:dyDescent="0.25">
      <c r="A78" t="s">
        <v>47</v>
      </c>
      <c r="B78" t="s">
        <v>47</v>
      </c>
      <c r="C78" t="s">
        <v>44</v>
      </c>
      <c r="D78" t="s">
        <v>45</v>
      </c>
      <c r="E78" t="s">
        <v>294</v>
      </c>
      <c r="F78" s="32" t="s">
        <v>93</v>
      </c>
      <c r="G78">
        <v>15</v>
      </c>
      <c r="H78" t="s">
        <v>99</v>
      </c>
      <c r="I78">
        <v>20</v>
      </c>
      <c r="J78" t="s">
        <v>100</v>
      </c>
      <c r="K78" s="32" t="s">
        <v>101</v>
      </c>
      <c r="L78" s="35">
        <v>486207</v>
      </c>
      <c r="M78" s="35">
        <v>42950</v>
      </c>
      <c r="N78" s="35">
        <v>196872</v>
      </c>
      <c r="O78" s="35">
        <v>289335</v>
      </c>
      <c r="P78" s="35">
        <v>289335</v>
      </c>
      <c r="Q78" s="35">
        <v>289335</v>
      </c>
      <c r="R78" s="35"/>
      <c r="S78" s="43">
        <f t="shared" si="2"/>
        <v>289335</v>
      </c>
      <c r="T78" s="35"/>
      <c r="U78" s="35"/>
      <c r="V78" s="35"/>
      <c r="W78" s="35"/>
      <c r="X78" s="35"/>
      <c r="Y78" s="58" t="s">
        <v>316</v>
      </c>
    </row>
    <row r="79" spans="1:25" ht="75" x14ac:dyDescent="0.25">
      <c r="A79" t="s">
        <v>47</v>
      </c>
      <c r="B79" t="s">
        <v>47</v>
      </c>
      <c r="C79" t="s">
        <v>44</v>
      </c>
      <c r="D79" t="s">
        <v>45</v>
      </c>
      <c r="E79" t="s">
        <v>294</v>
      </c>
      <c r="F79" s="32" t="s">
        <v>93</v>
      </c>
      <c r="G79">
        <v>55</v>
      </c>
      <c r="H79" t="s">
        <v>86</v>
      </c>
      <c r="I79">
        <v>20</v>
      </c>
      <c r="J79" t="s">
        <v>183</v>
      </c>
      <c r="K79" s="32" t="s">
        <v>195</v>
      </c>
      <c r="L79" s="35">
        <v>84848.67</v>
      </c>
      <c r="M79" s="35"/>
      <c r="N79" s="35">
        <v>79408.800000000003</v>
      </c>
      <c r="O79" s="35">
        <v>5439.8699999999953</v>
      </c>
      <c r="P79" s="35">
        <v>0</v>
      </c>
      <c r="Q79" s="35"/>
      <c r="R79" s="35"/>
      <c r="S79" s="43">
        <f t="shared" si="2"/>
        <v>0</v>
      </c>
      <c r="T79" s="35"/>
      <c r="U79" s="35"/>
      <c r="V79" s="35"/>
      <c r="W79" s="35"/>
      <c r="X79" s="35">
        <f>O79</f>
        <v>5439.8699999999953</v>
      </c>
      <c r="Y79" s="60" t="s">
        <v>267</v>
      </c>
    </row>
    <row r="80" spans="1:25" ht="244.5" customHeight="1" x14ac:dyDescent="0.25">
      <c r="A80" t="s">
        <v>47</v>
      </c>
      <c r="B80" t="s">
        <v>47</v>
      </c>
      <c r="C80" t="s">
        <v>44</v>
      </c>
      <c r="D80" t="s">
        <v>45</v>
      </c>
      <c r="E80" t="s">
        <v>294</v>
      </c>
      <c r="F80" s="32" t="s">
        <v>93</v>
      </c>
      <c r="G80">
        <v>5</v>
      </c>
      <c r="H80" t="s">
        <v>86</v>
      </c>
      <c r="I80">
        <v>20</v>
      </c>
      <c r="K80" s="32" t="s">
        <v>87</v>
      </c>
      <c r="L80" s="35">
        <v>7653742.4100000001</v>
      </c>
      <c r="M80" s="35">
        <v>1763561</v>
      </c>
      <c r="N80" s="35">
        <v>6323226.7999999998</v>
      </c>
      <c r="O80" s="35">
        <v>1330515.6100000003</v>
      </c>
      <c r="P80" s="35">
        <v>1330515.6100000003</v>
      </c>
      <c r="Q80" s="51">
        <f>P80-0.61</f>
        <v>1330515.0000000002</v>
      </c>
      <c r="R80" s="35"/>
      <c r="S80" s="43">
        <f t="shared" si="2"/>
        <v>1330515.0000000002</v>
      </c>
      <c r="T80" s="35"/>
      <c r="U80" s="35"/>
      <c r="V80" s="35"/>
      <c r="W80" s="35"/>
      <c r="X80" s="35">
        <v>0.61</v>
      </c>
      <c r="Y80" s="67" t="s">
        <v>411</v>
      </c>
    </row>
    <row r="81" spans="1:25" ht="45" x14ac:dyDescent="0.25">
      <c r="A81" t="s">
        <v>47</v>
      </c>
      <c r="B81" t="s">
        <v>47</v>
      </c>
      <c r="C81" t="s">
        <v>44</v>
      </c>
      <c r="D81" t="s">
        <v>105</v>
      </c>
      <c r="E81" t="s">
        <v>307</v>
      </c>
      <c r="F81" s="32" t="s">
        <v>104</v>
      </c>
      <c r="G81" s="11">
        <v>41</v>
      </c>
      <c r="H81" t="s">
        <v>106</v>
      </c>
      <c r="I81">
        <v>20</v>
      </c>
      <c r="K81" s="32" t="s">
        <v>242</v>
      </c>
      <c r="L81" s="35">
        <v>185600</v>
      </c>
      <c r="M81" s="35"/>
      <c r="N81" s="35">
        <v>185600</v>
      </c>
      <c r="O81" s="35">
        <v>0</v>
      </c>
      <c r="P81" s="35"/>
      <c r="Q81" s="35"/>
      <c r="R81" s="35"/>
      <c r="S81" s="43">
        <f t="shared" si="2"/>
        <v>0</v>
      </c>
      <c r="T81" s="35"/>
      <c r="U81" s="35"/>
      <c r="V81" s="35"/>
      <c r="W81" s="35"/>
      <c r="X81" s="35"/>
      <c r="Y81" s="58"/>
    </row>
    <row r="82" spans="1:25" ht="90" x14ac:dyDescent="0.25">
      <c r="A82" t="s">
        <v>47</v>
      </c>
      <c r="B82" t="s">
        <v>47</v>
      </c>
      <c r="C82" t="s">
        <v>44</v>
      </c>
      <c r="D82" t="s">
        <v>105</v>
      </c>
      <c r="E82" t="s">
        <v>307</v>
      </c>
      <c r="F82" s="32" t="s">
        <v>104</v>
      </c>
      <c r="G82">
        <v>45</v>
      </c>
      <c r="H82" t="s">
        <v>48</v>
      </c>
      <c r="I82">
        <v>20</v>
      </c>
      <c r="K82" s="32" t="s">
        <v>278</v>
      </c>
      <c r="L82" s="35">
        <v>20441037.5</v>
      </c>
      <c r="M82" s="35"/>
      <c r="N82" s="35">
        <v>20441037.5</v>
      </c>
      <c r="O82" s="35">
        <v>0</v>
      </c>
      <c r="P82" s="35"/>
      <c r="Q82" s="35"/>
      <c r="R82" s="35"/>
      <c r="S82" s="43">
        <f t="shared" si="2"/>
        <v>0</v>
      </c>
      <c r="T82" s="35"/>
      <c r="U82" s="35"/>
      <c r="V82" s="35"/>
      <c r="W82" s="35"/>
      <c r="X82" s="35"/>
      <c r="Y82" s="58"/>
    </row>
    <row r="83" spans="1:25" ht="45" x14ac:dyDescent="0.25">
      <c r="A83" t="s">
        <v>47</v>
      </c>
      <c r="B83" t="s">
        <v>47</v>
      </c>
      <c r="C83" t="s">
        <v>44</v>
      </c>
      <c r="D83" t="s">
        <v>105</v>
      </c>
      <c r="E83" t="s">
        <v>307</v>
      </c>
      <c r="F83" s="32" t="s">
        <v>104</v>
      </c>
      <c r="G83" s="11">
        <v>41</v>
      </c>
      <c r="H83" t="s">
        <v>106</v>
      </c>
      <c r="I83">
        <v>20</v>
      </c>
      <c r="K83" s="32" t="s">
        <v>107</v>
      </c>
      <c r="L83" s="35">
        <v>140400</v>
      </c>
      <c r="M83" s="35">
        <v>900</v>
      </c>
      <c r="N83" s="35">
        <v>139500</v>
      </c>
      <c r="O83" s="35">
        <v>900</v>
      </c>
      <c r="P83" s="35">
        <v>900</v>
      </c>
      <c r="Q83" s="35">
        <v>900</v>
      </c>
      <c r="R83" s="35"/>
      <c r="S83" s="43">
        <f t="shared" si="2"/>
        <v>900</v>
      </c>
      <c r="T83" s="35"/>
      <c r="U83" s="35"/>
      <c r="V83" s="35"/>
      <c r="W83" s="35"/>
      <c r="X83" s="35"/>
      <c r="Y83" s="58" t="s">
        <v>338</v>
      </c>
    </row>
    <row r="84" spans="1:25" ht="75" x14ac:dyDescent="0.25">
      <c r="A84" t="s">
        <v>47</v>
      </c>
      <c r="B84" t="s">
        <v>47</v>
      </c>
      <c r="C84" t="s">
        <v>44</v>
      </c>
      <c r="D84" t="s">
        <v>105</v>
      </c>
      <c r="E84" t="s">
        <v>307</v>
      </c>
      <c r="F84" s="32" t="s">
        <v>104</v>
      </c>
      <c r="G84">
        <v>45</v>
      </c>
      <c r="H84" t="s">
        <v>48</v>
      </c>
      <c r="I84">
        <v>20</v>
      </c>
      <c r="K84" s="32" t="s">
        <v>108</v>
      </c>
      <c r="L84" s="35">
        <v>12274394</v>
      </c>
      <c r="M84" s="35">
        <v>472358</v>
      </c>
      <c r="N84" s="35">
        <v>11848005.99</v>
      </c>
      <c r="O84" s="35">
        <v>426388.00999999978</v>
      </c>
      <c r="P84" s="35">
        <v>426388.00999999978</v>
      </c>
      <c r="Q84" s="35">
        <v>426387.99999999977</v>
      </c>
      <c r="R84" s="35"/>
      <c r="S84" s="43">
        <f t="shared" si="2"/>
        <v>426387.99999999977</v>
      </c>
      <c r="T84" s="35"/>
      <c r="U84" s="35"/>
      <c r="V84" s="35"/>
      <c r="W84" s="35"/>
      <c r="X84" s="35"/>
      <c r="Y84" s="58" t="s">
        <v>339</v>
      </c>
    </row>
    <row r="85" spans="1:25" ht="120" x14ac:dyDescent="0.25">
      <c r="A85" t="s">
        <v>47</v>
      </c>
      <c r="B85" t="s">
        <v>47</v>
      </c>
      <c r="C85" t="s">
        <v>44</v>
      </c>
      <c r="D85" t="s">
        <v>105</v>
      </c>
      <c r="E85" t="s">
        <v>307</v>
      </c>
      <c r="F85" s="32" t="s">
        <v>104</v>
      </c>
      <c r="G85">
        <v>45</v>
      </c>
      <c r="H85" t="s">
        <v>48</v>
      </c>
      <c r="I85">
        <v>20</v>
      </c>
      <c r="K85" s="32" t="s">
        <v>109</v>
      </c>
      <c r="L85" s="35">
        <v>349062.5</v>
      </c>
      <c r="M85" s="35">
        <v>49062.5</v>
      </c>
      <c r="N85" s="35">
        <v>255625</v>
      </c>
      <c r="O85" s="35">
        <v>93437.5</v>
      </c>
      <c r="P85" s="35">
        <v>93437.5</v>
      </c>
      <c r="Q85" s="35">
        <v>93437.5</v>
      </c>
      <c r="R85" s="35"/>
      <c r="S85" s="43">
        <f t="shared" si="2"/>
        <v>93437.5</v>
      </c>
      <c r="T85" s="35"/>
      <c r="U85" s="35"/>
      <c r="V85" s="35"/>
      <c r="W85" s="35"/>
      <c r="X85" s="35"/>
      <c r="Y85" s="58" t="s">
        <v>367</v>
      </c>
    </row>
    <row r="86" spans="1:25" ht="45" x14ac:dyDescent="0.25">
      <c r="A86" t="s">
        <v>47</v>
      </c>
      <c r="B86" t="s">
        <v>47</v>
      </c>
      <c r="C86" t="s">
        <v>44</v>
      </c>
      <c r="D86" t="s">
        <v>105</v>
      </c>
      <c r="E86" t="s">
        <v>307</v>
      </c>
      <c r="F86" s="32" t="s">
        <v>104</v>
      </c>
      <c r="G86">
        <v>45</v>
      </c>
      <c r="H86" t="s">
        <v>48</v>
      </c>
      <c r="I86">
        <v>20</v>
      </c>
      <c r="J86" s="70" t="s">
        <v>227</v>
      </c>
      <c r="K86" s="32" t="s">
        <v>228</v>
      </c>
      <c r="L86" s="35">
        <v>199184</v>
      </c>
      <c r="M86" s="35"/>
      <c r="N86" s="35">
        <v>199184</v>
      </c>
      <c r="O86" s="35">
        <v>0</v>
      </c>
      <c r="P86" s="35"/>
      <c r="Q86" s="35"/>
      <c r="R86" s="35"/>
      <c r="S86" s="43">
        <f t="shared" si="2"/>
        <v>0</v>
      </c>
      <c r="T86" s="35"/>
      <c r="U86" s="35"/>
      <c r="V86" s="35"/>
      <c r="W86" s="35"/>
      <c r="X86" s="35"/>
      <c r="Y86" s="58"/>
    </row>
    <row r="87" spans="1:25" ht="60" x14ac:dyDescent="0.25">
      <c r="A87" t="s">
        <v>47</v>
      </c>
      <c r="B87" t="s">
        <v>47</v>
      </c>
      <c r="C87" t="s">
        <v>44</v>
      </c>
      <c r="D87" t="s">
        <v>105</v>
      </c>
      <c r="E87" t="s">
        <v>307</v>
      </c>
      <c r="F87" s="32" t="s">
        <v>104</v>
      </c>
      <c r="G87">
        <v>45</v>
      </c>
      <c r="H87" t="s">
        <v>48</v>
      </c>
      <c r="I87">
        <v>20</v>
      </c>
      <c r="J87" s="70" t="s">
        <v>110</v>
      </c>
      <c r="K87" s="32" t="s">
        <v>111</v>
      </c>
      <c r="L87" s="35">
        <v>3187599.75</v>
      </c>
      <c r="M87" s="35">
        <v>1450566.75</v>
      </c>
      <c r="N87" s="35">
        <v>1509622.4</v>
      </c>
      <c r="O87" s="35">
        <v>1677977.35</v>
      </c>
      <c r="P87" s="35">
        <v>1677977.35</v>
      </c>
      <c r="Q87" s="35">
        <v>1677977.35</v>
      </c>
      <c r="R87" s="35"/>
      <c r="S87" s="43">
        <f t="shared" si="2"/>
        <v>1677977.35</v>
      </c>
      <c r="T87" s="35"/>
      <c r="U87" s="35"/>
      <c r="V87" s="35"/>
      <c r="W87" s="35"/>
      <c r="X87" s="35"/>
      <c r="Y87" s="58" t="s">
        <v>340</v>
      </c>
    </row>
    <row r="88" spans="1:25" ht="45" x14ac:dyDescent="0.25">
      <c r="A88" t="s">
        <v>47</v>
      </c>
      <c r="B88" t="s">
        <v>47</v>
      </c>
      <c r="C88" t="s">
        <v>44</v>
      </c>
      <c r="D88" t="s">
        <v>105</v>
      </c>
      <c r="E88" t="s">
        <v>307</v>
      </c>
      <c r="F88" s="32" t="s">
        <v>104</v>
      </c>
      <c r="G88">
        <v>45</v>
      </c>
      <c r="H88" t="s">
        <v>48</v>
      </c>
      <c r="I88">
        <v>20</v>
      </c>
      <c r="K88" s="32" t="s">
        <v>112</v>
      </c>
      <c r="L88" s="35">
        <v>200000</v>
      </c>
      <c r="M88" s="35">
        <v>200000</v>
      </c>
      <c r="N88" s="35">
        <v>200000</v>
      </c>
      <c r="O88" s="35">
        <v>0</v>
      </c>
      <c r="P88" s="35"/>
      <c r="Q88" s="35"/>
      <c r="R88" s="35"/>
      <c r="S88" s="43">
        <f t="shared" si="2"/>
        <v>0</v>
      </c>
      <c r="T88" s="35"/>
      <c r="U88" s="35"/>
      <c r="V88" s="35"/>
      <c r="W88" s="35"/>
      <c r="X88" s="35"/>
      <c r="Y88" s="58"/>
    </row>
    <row r="89" spans="1:25" ht="111" customHeight="1" x14ac:dyDescent="0.25">
      <c r="A89" t="s">
        <v>47</v>
      </c>
      <c r="B89" t="s">
        <v>47</v>
      </c>
      <c r="C89" t="s">
        <v>44</v>
      </c>
      <c r="D89" t="s">
        <v>105</v>
      </c>
      <c r="E89" t="s">
        <v>307</v>
      </c>
      <c r="F89" s="32" t="s">
        <v>104</v>
      </c>
      <c r="G89">
        <v>45</v>
      </c>
      <c r="H89" t="s">
        <v>48</v>
      </c>
      <c r="I89">
        <v>20</v>
      </c>
      <c r="K89" s="50" t="s">
        <v>277</v>
      </c>
      <c r="L89" s="35">
        <f>1300000+1164810+341483</f>
        <v>2806293</v>
      </c>
      <c r="M89" s="35">
        <f>113990+224227</f>
        <v>338217</v>
      </c>
      <c r="N89" s="35">
        <f>1300000+1057371.7+42782</f>
        <v>2400153.7000000002</v>
      </c>
      <c r="O89" s="35">
        <f>L89-N89</f>
        <v>406139.29999999981</v>
      </c>
      <c r="P89" s="35">
        <f>O89</f>
        <v>406139.29999999981</v>
      </c>
      <c r="Q89" s="35">
        <f>P89</f>
        <v>406139.29999999981</v>
      </c>
      <c r="R89" s="35"/>
      <c r="S89" s="43">
        <f t="shared" si="2"/>
        <v>406139.29999999981</v>
      </c>
      <c r="T89" s="35"/>
      <c r="U89" s="35"/>
      <c r="V89" s="35"/>
      <c r="W89" s="35"/>
      <c r="X89" s="35"/>
      <c r="Y89" s="62" t="s">
        <v>386</v>
      </c>
    </row>
    <row r="90" spans="1:25" ht="45" x14ac:dyDescent="0.25">
      <c r="A90" t="s">
        <v>47</v>
      </c>
      <c r="B90" t="s">
        <v>47</v>
      </c>
      <c r="C90" t="s">
        <v>44</v>
      </c>
      <c r="D90" t="s">
        <v>105</v>
      </c>
      <c r="E90" t="s">
        <v>307</v>
      </c>
      <c r="F90" s="32" t="s">
        <v>104</v>
      </c>
      <c r="G90">
        <v>45</v>
      </c>
      <c r="H90" t="s">
        <v>48</v>
      </c>
      <c r="I90">
        <v>20</v>
      </c>
      <c r="J90" t="s">
        <v>102</v>
      </c>
      <c r="K90" s="32" t="s">
        <v>111</v>
      </c>
      <c r="L90" s="35">
        <v>100000</v>
      </c>
      <c r="M90" s="35">
        <v>100000</v>
      </c>
      <c r="N90" s="35">
        <v>100000</v>
      </c>
      <c r="O90" s="35">
        <v>0</v>
      </c>
      <c r="P90" s="35"/>
      <c r="Q90" s="35"/>
      <c r="R90" s="35"/>
      <c r="S90" s="43">
        <f t="shared" si="2"/>
        <v>0</v>
      </c>
      <c r="T90" s="35"/>
      <c r="U90" s="35"/>
      <c r="V90" s="35"/>
      <c r="W90" s="35"/>
      <c r="X90" s="35"/>
      <c r="Y90" s="58"/>
    </row>
    <row r="91" spans="1:25" ht="45" x14ac:dyDescent="0.25">
      <c r="A91" t="s">
        <v>47</v>
      </c>
      <c r="B91" t="s">
        <v>47</v>
      </c>
      <c r="C91" t="s">
        <v>44</v>
      </c>
      <c r="D91" t="s">
        <v>105</v>
      </c>
      <c r="E91" t="s">
        <v>307</v>
      </c>
      <c r="F91" s="32" t="s">
        <v>104</v>
      </c>
      <c r="G91">
        <v>45</v>
      </c>
      <c r="H91" t="s">
        <v>48</v>
      </c>
      <c r="I91">
        <v>20</v>
      </c>
      <c r="J91" t="s">
        <v>113</v>
      </c>
      <c r="K91" s="32" t="s">
        <v>114</v>
      </c>
      <c r="L91" s="35">
        <v>228192</v>
      </c>
      <c r="M91" s="35">
        <v>228192</v>
      </c>
      <c r="N91" s="35">
        <v>228192</v>
      </c>
      <c r="O91" s="35">
        <v>0</v>
      </c>
      <c r="P91" s="35"/>
      <c r="Q91" s="35"/>
      <c r="R91" s="35"/>
      <c r="S91" s="43">
        <f t="shared" si="2"/>
        <v>0</v>
      </c>
      <c r="T91" s="35"/>
      <c r="U91" s="35"/>
      <c r="V91" s="35"/>
      <c r="W91" s="35"/>
      <c r="X91" s="35"/>
      <c r="Y91" s="58"/>
    </row>
    <row r="92" spans="1:25" ht="45" x14ac:dyDescent="0.25">
      <c r="A92" t="s">
        <v>47</v>
      </c>
      <c r="B92" t="s">
        <v>47</v>
      </c>
      <c r="C92" t="s">
        <v>44</v>
      </c>
      <c r="D92" t="s">
        <v>105</v>
      </c>
      <c r="E92" t="s">
        <v>307</v>
      </c>
      <c r="F92" s="32" t="s">
        <v>104</v>
      </c>
      <c r="G92">
        <v>45</v>
      </c>
      <c r="H92" t="s">
        <v>48</v>
      </c>
      <c r="I92">
        <v>20</v>
      </c>
      <c r="J92" t="s">
        <v>102</v>
      </c>
      <c r="K92" s="32" t="s">
        <v>115</v>
      </c>
      <c r="L92" s="35">
        <v>50000</v>
      </c>
      <c r="M92" s="35">
        <v>50000</v>
      </c>
      <c r="N92" s="35">
        <v>50000</v>
      </c>
      <c r="O92" s="35">
        <v>0</v>
      </c>
      <c r="P92" s="35"/>
      <c r="Q92" s="35"/>
      <c r="R92" s="35"/>
      <c r="S92" s="43">
        <f t="shared" si="2"/>
        <v>0</v>
      </c>
      <c r="T92" s="35"/>
      <c r="U92" s="35"/>
      <c r="V92" s="35"/>
      <c r="W92" s="35"/>
      <c r="X92" s="35"/>
      <c r="Y92" s="58"/>
    </row>
    <row r="93" spans="1:25" ht="45" x14ac:dyDescent="0.25">
      <c r="A93" t="s">
        <v>47</v>
      </c>
      <c r="B93" t="s">
        <v>47</v>
      </c>
      <c r="C93" t="s">
        <v>44</v>
      </c>
      <c r="D93" t="s">
        <v>105</v>
      </c>
      <c r="E93" t="s">
        <v>307</v>
      </c>
      <c r="F93" s="32" t="s">
        <v>104</v>
      </c>
      <c r="G93">
        <v>45</v>
      </c>
      <c r="H93" t="s">
        <v>48</v>
      </c>
      <c r="I93">
        <v>20</v>
      </c>
      <c r="J93" t="s">
        <v>102</v>
      </c>
      <c r="K93" s="32" t="s">
        <v>103</v>
      </c>
      <c r="L93" s="35">
        <v>50816</v>
      </c>
      <c r="M93" s="35"/>
      <c r="N93" s="35"/>
      <c r="O93" s="35">
        <v>50816</v>
      </c>
      <c r="P93" s="35">
        <v>50816</v>
      </c>
      <c r="Q93" s="35">
        <v>50816</v>
      </c>
      <c r="R93" s="35"/>
      <c r="S93" s="43">
        <f t="shared" si="2"/>
        <v>50816</v>
      </c>
      <c r="T93" s="35"/>
      <c r="U93" s="35"/>
      <c r="V93" s="35"/>
      <c r="W93" s="35"/>
      <c r="X93" s="35"/>
      <c r="Y93" s="58" t="s">
        <v>341</v>
      </c>
    </row>
    <row r="94" spans="1:25" ht="45" x14ac:dyDescent="0.25">
      <c r="A94" t="s">
        <v>47</v>
      </c>
      <c r="B94" t="s">
        <v>47</v>
      </c>
      <c r="C94" t="s">
        <v>44</v>
      </c>
      <c r="D94" t="s">
        <v>105</v>
      </c>
      <c r="E94" t="s">
        <v>307</v>
      </c>
      <c r="F94" s="32" t="s">
        <v>104</v>
      </c>
      <c r="G94">
        <v>45</v>
      </c>
      <c r="H94" t="s">
        <v>48</v>
      </c>
      <c r="I94">
        <v>20</v>
      </c>
      <c r="J94" t="s">
        <v>176</v>
      </c>
      <c r="K94" s="32" t="s">
        <v>239</v>
      </c>
      <c r="L94" s="35">
        <v>605000</v>
      </c>
      <c r="M94" s="35"/>
      <c r="N94" s="35">
        <v>546937</v>
      </c>
      <c r="O94" s="35">
        <v>58063</v>
      </c>
      <c r="P94" s="35">
        <v>58063</v>
      </c>
      <c r="Q94" s="35">
        <v>0</v>
      </c>
      <c r="R94" s="35"/>
      <c r="S94" s="43">
        <f t="shared" si="2"/>
        <v>0</v>
      </c>
      <c r="T94" s="35"/>
      <c r="U94" s="35">
        <f>O94</f>
        <v>58063</v>
      </c>
      <c r="V94" s="35"/>
      <c r="W94" s="35"/>
      <c r="X94" s="35"/>
      <c r="Y94" s="62" t="s">
        <v>320</v>
      </c>
    </row>
    <row r="95" spans="1:25" ht="60" x14ac:dyDescent="0.25">
      <c r="A95" t="s">
        <v>47</v>
      </c>
      <c r="B95" t="s">
        <v>47</v>
      </c>
      <c r="C95" t="s">
        <v>44</v>
      </c>
      <c r="D95" t="s">
        <v>105</v>
      </c>
      <c r="E95" t="s">
        <v>307</v>
      </c>
      <c r="F95" s="32" t="s">
        <v>104</v>
      </c>
      <c r="G95">
        <v>45</v>
      </c>
      <c r="H95" t="s">
        <v>48</v>
      </c>
      <c r="I95">
        <v>20</v>
      </c>
      <c r="J95" t="s">
        <v>176</v>
      </c>
      <c r="K95" s="32" t="s">
        <v>240</v>
      </c>
      <c r="L95" s="35">
        <v>65000</v>
      </c>
      <c r="M95" s="35"/>
      <c r="N95" s="35">
        <v>48750</v>
      </c>
      <c r="O95" s="35">
        <v>16250</v>
      </c>
      <c r="P95" s="35">
        <v>16250</v>
      </c>
      <c r="Q95" s="35">
        <v>16250</v>
      </c>
      <c r="R95" s="35"/>
      <c r="S95" s="43">
        <f t="shared" si="2"/>
        <v>16250</v>
      </c>
      <c r="T95" s="35"/>
      <c r="U95" s="35"/>
      <c r="V95" s="35"/>
      <c r="W95" s="35"/>
      <c r="X95" s="35"/>
      <c r="Y95" s="58" t="s">
        <v>276</v>
      </c>
    </row>
    <row r="96" spans="1:25" ht="45" x14ac:dyDescent="0.25">
      <c r="A96" t="s">
        <v>47</v>
      </c>
      <c r="B96" t="s">
        <v>47</v>
      </c>
      <c r="C96" t="s">
        <v>44</v>
      </c>
      <c r="D96" t="s">
        <v>105</v>
      </c>
      <c r="E96" t="s">
        <v>307</v>
      </c>
      <c r="F96" s="32" t="s">
        <v>104</v>
      </c>
      <c r="G96">
        <v>45</v>
      </c>
      <c r="H96" t="s">
        <v>48</v>
      </c>
      <c r="I96">
        <v>20</v>
      </c>
      <c r="J96" t="s">
        <v>176</v>
      </c>
      <c r="K96" s="32" t="s">
        <v>241</v>
      </c>
      <c r="L96" s="35">
        <v>1265000</v>
      </c>
      <c r="M96" s="35"/>
      <c r="N96" s="35">
        <v>1265000</v>
      </c>
      <c r="O96" s="35">
        <v>0</v>
      </c>
      <c r="P96" s="35"/>
      <c r="Q96" s="35"/>
      <c r="R96" s="35"/>
      <c r="S96" s="43">
        <f t="shared" si="2"/>
        <v>0</v>
      </c>
      <c r="T96" s="35"/>
      <c r="U96" s="35"/>
      <c r="V96" s="35"/>
      <c r="W96" s="35"/>
      <c r="X96" s="35"/>
      <c r="Y96" s="58"/>
    </row>
    <row r="97" spans="1:25" ht="45" x14ac:dyDescent="0.25">
      <c r="A97" t="s">
        <v>47</v>
      </c>
      <c r="B97" t="s">
        <v>47</v>
      </c>
      <c r="C97" t="s">
        <v>44</v>
      </c>
      <c r="D97" t="s">
        <v>105</v>
      </c>
      <c r="E97" t="s">
        <v>307</v>
      </c>
      <c r="F97" s="32" t="s">
        <v>104</v>
      </c>
      <c r="G97">
        <v>45</v>
      </c>
      <c r="H97" t="s">
        <v>48</v>
      </c>
      <c r="I97">
        <v>20</v>
      </c>
      <c r="J97" t="s">
        <v>116</v>
      </c>
      <c r="K97" s="32" t="s">
        <v>117</v>
      </c>
      <c r="L97" s="35">
        <v>10210</v>
      </c>
      <c r="M97" s="35">
        <v>10210</v>
      </c>
      <c r="N97" s="35">
        <v>9048</v>
      </c>
      <c r="O97" s="35">
        <v>1162</v>
      </c>
      <c r="P97" s="35">
        <v>0</v>
      </c>
      <c r="Q97" s="35">
        <v>0</v>
      </c>
      <c r="R97" s="35"/>
      <c r="S97" s="43">
        <f t="shared" si="2"/>
        <v>0</v>
      </c>
      <c r="T97" s="35"/>
      <c r="U97" s="35"/>
      <c r="V97" s="35"/>
      <c r="W97" s="35"/>
      <c r="X97" s="35">
        <f>O97</f>
        <v>1162</v>
      </c>
      <c r="Y97" s="58" t="s">
        <v>366</v>
      </c>
    </row>
    <row r="98" spans="1:25" ht="75" x14ac:dyDescent="0.25">
      <c r="A98" t="s">
        <v>47</v>
      </c>
      <c r="B98" t="s">
        <v>47</v>
      </c>
      <c r="C98" t="s">
        <v>44</v>
      </c>
      <c r="D98" t="s">
        <v>105</v>
      </c>
      <c r="E98" t="s">
        <v>291</v>
      </c>
      <c r="F98" s="32" t="s">
        <v>177</v>
      </c>
      <c r="G98">
        <v>45</v>
      </c>
      <c r="H98" t="s">
        <v>48</v>
      </c>
      <c r="I98">
        <v>20</v>
      </c>
      <c r="K98" s="32" t="s">
        <v>178</v>
      </c>
      <c r="L98" s="35">
        <v>360000</v>
      </c>
      <c r="M98" s="35"/>
      <c r="N98" s="35">
        <v>360000</v>
      </c>
      <c r="O98" s="35">
        <v>0</v>
      </c>
      <c r="P98" s="35"/>
      <c r="Q98" s="35"/>
      <c r="R98" s="35"/>
      <c r="S98" s="43">
        <f t="shared" si="2"/>
        <v>0</v>
      </c>
      <c r="T98" s="35"/>
      <c r="U98" s="35"/>
      <c r="V98" s="35"/>
      <c r="W98" s="35"/>
      <c r="X98" s="35"/>
      <c r="Y98" s="58"/>
    </row>
    <row r="99" spans="1:25" ht="120" x14ac:dyDescent="0.25">
      <c r="A99" t="s">
        <v>47</v>
      </c>
      <c r="B99" t="s">
        <v>47</v>
      </c>
      <c r="C99" t="s">
        <v>44</v>
      </c>
      <c r="D99" t="s">
        <v>105</v>
      </c>
      <c r="E99" t="s">
        <v>303</v>
      </c>
      <c r="F99" s="32" t="s">
        <v>118</v>
      </c>
      <c r="G99">
        <v>45</v>
      </c>
      <c r="H99" t="s">
        <v>48</v>
      </c>
      <c r="I99">
        <v>20</v>
      </c>
      <c r="K99" s="32" t="s">
        <v>272</v>
      </c>
      <c r="L99" s="35">
        <v>1378215.5</v>
      </c>
      <c r="M99" s="35"/>
      <c r="N99" s="35">
        <v>1378215.5</v>
      </c>
      <c r="O99" s="35">
        <v>0</v>
      </c>
      <c r="P99" s="35"/>
      <c r="Q99" s="35"/>
      <c r="R99" s="35"/>
      <c r="S99" s="43">
        <f t="shared" si="2"/>
        <v>0</v>
      </c>
      <c r="T99" s="35"/>
      <c r="U99" s="35"/>
      <c r="V99" s="35"/>
      <c r="W99" s="35"/>
      <c r="X99" s="35"/>
      <c r="Y99" s="58"/>
    </row>
    <row r="100" spans="1:25" ht="153.6" customHeight="1" x14ac:dyDescent="0.25">
      <c r="A100" t="s">
        <v>47</v>
      </c>
      <c r="B100" t="s">
        <v>47</v>
      </c>
      <c r="C100" t="s">
        <v>44</v>
      </c>
      <c r="D100" t="s">
        <v>105</v>
      </c>
      <c r="E100" t="s">
        <v>303</v>
      </c>
      <c r="F100" s="32" t="s">
        <v>118</v>
      </c>
      <c r="G100">
        <v>45</v>
      </c>
      <c r="H100" t="s">
        <v>48</v>
      </c>
      <c r="I100">
        <v>20</v>
      </c>
      <c r="K100" s="50" t="s">
        <v>229</v>
      </c>
      <c r="L100" s="35">
        <v>1194421</v>
      </c>
      <c r="M100" s="35"/>
      <c r="N100" s="35">
        <v>1191663.04</v>
      </c>
      <c r="O100" s="35">
        <v>2757.9599999999627</v>
      </c>
      <c r="P100" s="35">
        <v>2757.9599999999627</v>
      </c>
      <c r="Q100" s="47">
        <f>P100-2757.96</f>
        <v>-3.7289282772690058E-11</v>
      </c>
      <c r="R100" s="47"/>
      <c r="S100" s="43">
        <f t="shared" si="2"/>
        <v>-3.7289282772690058E-11</v>
      </c>
      <c r="T100" s="47"/>
      <c r="U100" s="47"/>
      <c r="V100" s="35"/>
      <c r="W100" s="35"/>
      <c r="X100" s="47"/>
      <c r="Y100" s="60" t="s">
        <v>389</v>
      </c>
    </row>
    <row r="101" spans="1:25" ht="150" x14ac:dyDescent="0.25">
      <c r="A101" t="s">
        <v>47</v>
      </c>
      <c r="B101" t="s">
        <v>47</v>
      </c>
      <c r="C101" t="s">
        <v>44</v>
      </c>
      <c r="D101" t="s">
        <v>105</v>
      </c>
      <c r="E101" t="s">
        <v>303</v>
      </c>
      <c r="F101" s="32" t="s">
        <v>118</v>
      </c>
      <c r="G101">
        <v>45</v>
      </c>
      <c r="H101" t="s">
        <v>48</v>
      </c>
      <c r="I101">
        <v>20</v>
      </c>
      <c r="K101" s="50" t="s">
        <v>119</v>
      </c>
      <c r="L101" s="35">
        <f>561065+130000</f>
        <v>691065</v>
      </c>
      <c r="M101" s="35">
        <f>508866+130000</f>
        <v>638866</v>
      </c>
      <c r="N101" s="35">
        <v>400000</v>
      </c>
      <c r="O101" s="35">
        <f>L101-N101</f>
        <v>291065</v>
      </c>
      <c r="P101" s="35">
        <f>O101</f>
        <v>291065</v>
      </c>
      <c r="Q101" s="35">
        <f>P101+2757.96+40843.54+16112.97</f>
        <v>350779.47</v>
      </c>
      <c r="R101" s="35"/>
      <c r="S101" s="43">
        <f t="shared" si="2"/>
        <v>350779.47</v>
      </c>
      <c r="T101" s="35"/>
      <c r="U101" s="35"/>
      <c r="V101" s="35"/>
      <c r="W101" s="35"/>
      <c r="X101" s="35"/>
      <c r="Y101" s="62" t="s">
        <v>271</v>
      </c>
    </row>
    <row r="102" spans="1:25" ht="75" x14ac:dyDescent="0.25">
      <c r="A102" t="s">
        <v>47</v>
      </c>
      <c r="B102" t="s">
        <v>47</v>
      </c>
      <c r="C102" t="s">
        <v>44</v>
      </c>
      <c r="D102" t="s">
        <v>105</v>
      </c>
      <c r="E102" t="s">
        <v>303</v>
      </c>
      <c r="F102" s="32" t="s">
        <v>118</v>
      </c>
      <c r="G102">
        <v>45</v>
      </c>
      <c r="H102" t="s">
        <v>48</v>
      </c>
      <c r="I102">
        <v>20</v>
      </c>
      <c r="J102" t="s">
        <v>102</v>
      </c>
      <c r="K102" s="32" t="s">
        <v>120</v>
      </c>
      <c r="L102" s="35">
        <v>8759755.5800000001</v>
      </c>
      <c r="M102" s="35">
        <v>8759755.5800000001</v>
      </c>
      <c r="N102" s="35">
        <v>8759755.5800000001</v>
      </c>
      <c r="O102" s="35">
        <v>0</v>
      </c>
      <c r="P102" s="35"/>
      <c r="Q102" s="35"/>
      <c r="R102" s="35"/>
      <c r="S102" s="43">
        <f t="shared" si="2"/>
        <v>0</v>
      </c>
      <c r="T102" s="35"/>
      <c r="U102" s="35"/>
      <c r="V102" s="35"/>
      <c r="W102" s="35"/>
      <c r="X102" s="35"/>
      <c r="Y102" s="58"/>
    </row>
    <row r="103" spans="1:25" ht="75" x14ac:dyDescent="0.25">
      <c r="A103" t="s">
        <v>47</v>
      </c>
      <c r="B103" t="s">
        <v>47</v>
      </c>
      <c r="C103" t="s">
        <v>44</v>
      </c>
      <c r="D103" t="s">
        <v>105</v>
      </c>
      <c r="E103" t="s">
        <v>303</v>
      </c>
      <c r="F103" s="32" t="s">
        <v>118</v>
      </c>
      <c r="G103">
        <v>45</v>
      </c>
      <c r="H103" t="s">
        <v>48</v>
      </c>
      <c r="I103">
        <v>20</v>
      </c>
      <c r="J103" t="s">
        <v>102</v>
      </c>
      <c r="K103" s="32" t="s">
        <v>111</v>
      </c>
      <c r="L103" s="35">
        <v>1500000</v>
      </c>
      <c r="M103" s="35">
        <v>1500000</v>
      </c>
      <c r="N103" s="35">
        <v>1500000</v>
      </c>
      <c r="O103" s="35">
        <v>0</v>
      </c>
      <c r="P103" s="35"/>
      <c r="Q103" s="35"/>
      <c r="R103" s="35"/>
      <c r="S103" s="43">
        <f t="shared" si="2"/>
        <v>0</v>
      </c>
      <c r="T103" s="35"/>
      <c r="U103" s="35"/>
      <c r="V103" s="35"/>
      <c r="W103" s="35"/>
      <c r="X103" s="35"/>
      <c r="Y103" s="58"/>
    </row>
    <row r="104" spans="1:25" ht="193.15" customHeight="1" x14ac:dyDescent="0.25">
      <c r="A104" t="s">
        <v>47</v>
      </c>
      <c r="B104" t="s">
        <v>47</v>
      </c>
      <c r="C104" t="s">
        <v>44</v>
      </c>
      <c r="D104" t="s">
        <v>105</v>
      </c>
      <c r="E104" t="s">
        <v>303</v>
      </c>
      <c r="F104" s="32" t="s">
        <v>118</v>
      </c>
      <c r="G104">
        <v>45</v>
      </c>
      <c r="H104" t="s">
        <v>48</v>
      </c>
      <c r="I104">
        <v>20</v>
      </c>
      <c r="K104" s="50" t="s">
        <v>121</v>
      </c>
      <c r="L104" s="35">
        <v>711590</v>
      </c>
      <c r="M104" s="35">
        <v>87090</v>
      </c>
      <c r="N104" s="35">
        <v>650434.92000000004</v>
      </c>
      <c r="O104" s="35">
        <v>61155.079999999958</v>
      </c>
      <c r="P104" s="35">
        <v>61155.079999999958</v>
      </c>
      <c r="Q104" s="35">
        <f>P104-40843.54</f>
        <v>20311.539999999957</v>
      </c>
      <c r="R104" s="35"/>
      <c r="S104" s="43">
        <f t="shared" si="2"/>
        <v>20311.539999999957</v>
      </c>
      <c r="T104" s="35"/>
      <c r="U104" s="35"/>
      <c r="V104" s="35"/>
      <c r="W104" s="35"/>
      <c r="X104" s="35"/>
      <c r="Y104" s="62" t="s">
        <v>387</v>
      </c>
    </row>
    <row r="105" spans="1:25" ht="123.6" customHeight="1" x14ac:dyDescent="0.25">
      <c r="A105" t="s">
        <v>47</v>
      </c>
      <c r="B105" t="s">
        <v>47</v>
      </c>
      <c r="C105" t="s">
        <v>44</v>
      </c>
      <c r="D105" t="s">
        <v>105</v>
      </c>
      <c r="E105" t="s">
        <v>303</v>
      </c>
      <c r="F105" s="32" t="s">
        <v>118</v>
      </c>
      <c r="G105">
        <v>45</v>
      </c>
      <c r="H105" t="s">
        <v>48</v>
      </c>
      <c r="I105">
        <v>20</v>
      </c>
      <c r="K105" s="50" t="s">
        <v>122</v>
      </c>
      <c r="L105" s="35">
        <v>2153271.33</v>
      </c>
      <c r="M105" s="35">
        <v>2153271.33</v>
      </c>
      <c r="N105" s="35">
        <v>2137158.36</v>
      </c>
      <c r="O105" s="35">
        <v>16112.970000000205</v>
      </c>
      <c r="P105" s="35">
        <v>16112.970000000205</v>
      </c>
      <c r="Q105" s="47">
        <f>P105-16112.97</f>
        <v>2.0554580260068178E-10</v>
      </c>
      <c r="R105" s="47"/>
      <c r="S105" s="43">
        <f t="shared" si="2"/>
        <v>2.0554580260068178E-10</v>
      </c>
      <c r="T105" s="47"/>
      <c r="U105" s="47"/>
      <c r="V105" s="35"/>
      <c r="W105" s="35"/>
      <c r="X105" s="47"/>
      <c r="Y105" s="60" t="s">
        <v>388</v>
      </c>
    </row>
    <row r="106" spans="1:25" ht="75" x14ac:dyDescent="0.25">
      <c r="A106" t="s">
        <v>47</v>
      </c>
      <c r="B106" t="s">
        <v>47</v>
      </c>
      <c r="C106" t="s">
        <v>44</v>
      </c>
      <c r="D106" t="s">
        <v>105</v>
      </c>
      <c r="E106" t="s">
        <v>303</v>
      </c>
      <c r="F106" s="32" t="s">
        <v>118</v>
      </c>
      <c r="G106">
        <v>45</v>
      </c>
      <c r="H106" t="s">
        <v>48</v>
      </c>
      <c r="I106">
        <v>20</v>
      </c>
      <c r="J106" t="s">
        <v>116</v>
      </c>
      <c r="K106" s="32" t="s">
        <v>117</v>
      </c>
      <c r="L106" s="35">
        <v>33790</v>
      </c>
      <c r="M106" s="35">
        <v>33790</v>
      </c>
      <c r="N106" s="35">
        <v>29952</v>
      </c>
      <c r="O106" s="35">
        <v>3838</v>
      </c>
      <c r="P106" s="35"/>
      <c r="Q106" s="35"/>
      <c r="R106" s="35"/>
      <c r="S106" s="43">
        <f t="shared" si="2"/>
        <v>0</v>
      </c>
      <c r="T106" s="35"/>
      <c r="U106" s="35"/>
      <c r="V106" s="35"/>
      <c r="W106" s="35"/>
      <c r="X106" s="35">
        <f>O106</f>
        <v>3838</v>
      </c>
      <c r="Y106" s="58" t="s">
        <v>322</v>
      </c>
    </row>
    <row r="107" spans="1:25" ht="75" x14ac:dyDescent="0.25">
      <c r="A107" t="s">
        <v>47</v>
      </c>
      <c r="B107" t="s">
        <v>123</v>
      </c>
      <c r="C107" t="s">
        <v>44</v>
      </c>
      <c r="D107" t="s">
        <v>45</v>
      </c>
      <c r="E107" t="s">
        <v>301</v>
      </c>
      <c r="F107" s="32" t="s">
        <v>74</v>
      </c>
      <c r="G107" s="11">
        <v>41</v>
      </c>
      <c r="H107" t="s">
        <v>106</v>
      </c>
      <c r="I107">
        <v>20</v>
      </c>
      <c r="K107" s="32" t="s">
        <v>124</v>
      </c>
      <c r="L107" s="35">
        <v>220057.38</v>
      </c>
      <c r="M107" s="35">
        <v>20057.38</v>
      </c>
      <c r="N107" s="35">
        <v>125667.5</v>
      </c>
      <c r="O107" s="35">
        <v>94389.88</v>
      </c>
      <c r="P107" s="35">
        <v>94389.88</v>
      </c>
      <c r="Q107" s="35">
        <f>P107-94389.88</f>
        <v>0</v>
      </c>
      <c r="R107" s="35"/>
      <c r="S107" s="43">
        <f t="shared" si="2"/>
        <v>0</v>
      </c>
      <c r="T107" s="35"/>
      <c r="U107" s="35"/>
      <c r="V107" s="35"/>
      <c r="W107" s="35"/>
      <c r="X107" s="35"/>
      <c r="Y107" s="58" t="s">
        <v>331</v>
      </c>
    </row>
    <row r="108" spans="1:25" ht="75" x14ac:dyDescent="0.25">
      <c r="A108" t="s">
        <v>47</v>
      </c>
      <c r="B108" t="s">
        <v>123</v>
      </c>
      <c r="C108" t="s">
        <v>44</v>
      </c>
      <c r="D108" t="s">
        <v>45</v>
      </c>
      <c r="E108" t="s">
        <v>301</v>
      </c>
      <c r="F108" s="32" t="s">
        <v>74</v>
      </c>
      <c r="G108" s="11">
        <v>41</v>
      </c>
      <c r="H108" t="s">
        <v>106</v>
      </c>
      <c r="I108">
        <v>20</v>
      </c>
      <c r="K108" s="32" t="s">
        <v>125</v>
      </c>
      <c r="L108" s="35">
        <v>3550</v>
      </c>
      <c r="M108" s="35">
        <v>50</v>
      </c>
      <c r="N108" s="35">
        <v>1780</v>
      </c>
      <c r="O108" s="35">
        <v>1770</v>
      </c>
      <c r="P108" s="35">
        <v>1770</v>
      </c>
      <c r="Q108" s="35">
        <v>1770</v>
      </c>
      <c r="R108" s="35"/>
      <c r="S108" s="43">
        <f t="shared" si="2"/>
        <v>1770</v>
      </c>
      <c r="T108" s="35"/>
      <c r="U108" s="35"/>
      <c r="V108" s="35"/>
      <c r="W108" s="35"/>
      <c r="X108" s="35"/>
      <c r="Y108" s="58" t="s">
        <v>332</v>
      </c>
    </row>
    <row r="109" spans="1:25" ht="75" x14ac:dyDescent="0.25">
      <c r="A109" t="s">
        <v>47</v>
      </c>
      <c r="B109" t="s">
        <v>123</v>
      </c>
      <c r="C109" t="s">
        <v>44</v>
      </c>
      <c r="D109" t="s">
        <v>45</v>
      </c>
      <c r="E109" t="s">
        <v>301</v>
      </c>
      <c r="F109" s="32" t="s">
        <v>74</v>
      </c>
      <c r="G109" s="11">
        <v>41</v>
      </c>
      <c r="H109" t="s">
        <v>106</v>
      </c>
      <c r="I109">
        <v>20</v>
      </c>
      <c r="J109" t="s">
        <v>126</v>
      </c>
      <c r="K109" s="32" t="s">
        <v>127</v>
      </c>
      <c r="L109" s="35">
        <v>7400</v>
      </c>
      <c r="M109" s="35">
        <v>7400</v>
      </c>
      <c r="N109" s="35">
        <v>7400</v>
      </c>
      <c r="O109" s="35">
        <v>0</v>
      </c>
      <c r="P109" s="35"/>
      <c r="Q109" s="35"/>
      <c r="R109" s="35"/>
      <c r="S109" s="43">
        <f t="shared" si="2"/>
        <v>0</v>
      </c>
      <c r="T109" s="35"/>
      <c r="U109" s="35"/>
      <c r="V109" s="35"/>
      <c r="W109" s="35"/>
      <c r="X109" s="35"/>
      <c r="Y109" s="58"/>
    </row>
    <row r="110" spans="1:25" ht="75" x14ac:dyDescent="0.25">
      <c r="A110" t="s">
        <v>47</v>
      </c>
      <c r="B110" t="s">
        <v>226</v>
      </c>
      <c r="C110" t="s">
        <v>44</v>
      </c>
      <c r="D110" t="s">
        <v>45</v>
      </c>
      <c r="E110" t="s">
        <v>301</v>
      </c>
      <c r="F110" s="32" t="s">
        <v>74</v>
      </c>
      <c r="G110">
        <v>5</v>
      </c>
      <c r="H110" t="s">
        <v>86</v>
      </c>
      <c r="I110">
        <v>20</v>
      </c>
      <c r="K110" s="32" t="s">
        <v>409</v>
      </c>
      <c r="L110" s="35">
        <v>121148.7</v>
      </c>
      <c r="M110" s="35"/>
      <c r="N110" s="35">
        <v>121148.7</v>
      </c>
      <c r="O110" s="35">
        <v>0</v>
      </c>
      <c r="P110" s="35">
        <v>0</v>
      </c>
      <c r="Q110" s="35"/>
      <c r="R110" s="35"/>
      <c r="S110" s="43">
        <f t="shared" si="2"/>
        <v>0</v>
      </c>
      <c r="T110" s="35"/>
      <c r="U110" s="35"/>
      <c r="V110" s="35"/>
      <c r="W110" s="35"/>
      <c r="X110" s="35"/>
      <c r="Y110" s="58"/>
    </row>
    <row r="111" spans="1:25" ht="75" x14ac:dyDescent="0.25">
      <c r="A111" t="s">
        <v>47</v>
      </c>
      <c r="B111" t="s">
        <v>225</v>
      </c>
      <c r="C111" t="s">
        <v>44</v>
      </c>
      <c r="D111" t="s">
        <v>45</v>
      </c>
      <c r="E111" t="s">
        <v>301</v>
      </c>
      <c r="F111" s="32" t="s">
        <v>74</v>
      </c>
      <c r="G111">
        <v>55</v>
      </c>
      <c r="H111" t="s">
        <v>86</v>
      </c>
      <c r="I111">
        <v>20</v>
      </c>
      <c r="J111" t="s">
        <v>183</v>
      </c>
      <c r="K111" s="32" t="s">
        <v>186</v>
      </c>
      <c r="L111" s="35">
        <v>37228.339999999997</v>
      </c>
      <c r="M111" s="35"/>
      <c r="N111" s="35">
        <v>37228.080000000002</v>
      </c>
      <c r="O111" s="35">
        <v>0.25999999999476131</v>
      </c>
      <c r="P111" s="35"/>
      <c r="Q111" s="35"/>
      <c r="R111" s="35"/>
      <c r="S111" s="43">
        <f t="shared" si="2"/>
        <v>0</v>
      </c>
      <c r="T111" s="35"/>
      <c r="U111" s="35"/>
      <c r="V111" s="35"/>
      <c r="W111" s="35"/>
      <c r="X111" s="35">
        <f>O111</f>
        <v>0.25999999999476131</v>
      </c>
      <c r="Y111" s="58" t="s">
        <v>267</v>
      </c>
    </row>
    <row r="112" spans="1:25" ht="75" x14ac:dyDescent="0.25">
      <c r="A112" t="s">
        <v>47</v>
      </c>
      <c r="B112" t="s">
        <v>225</v>
      </c>
      <c r="C112" t="s">
        <v>44</v>
      </c>
      <c r="D112" t="s">
        <v>45</v>
      </c>
      <c r="E112" t="s">
        <v>301</v>
      </c>
      <c r="F112" s="32" t="s">
        <v>74</v>
      </c>
      <c r="G112">
        <v>5</v>
      </c>
      <c r="H112" t="s">
        <v>86</v>
      </c>
      <c r="I112">
        <v>20</v>
      </c>
      <c r="K112" s="32" t="s">
        <v>410</v>
      </c>
      <c r="L112" s="35">
        <v>179804.59</v>
      </c>
      <c r="M112" s="35"/>
      <c r="N112" s="35">
        <v>179804.59</v>
      </c>
      <c r="O112" s="35">
        <v>0</v>
      </c>
      <c r="P112" s="35"/>
      <c r="Q112" s="35"/>
      <c r="R112" s="35"/>
      <c r="S112" s="43">
        <f t="shared" si="2"/>
        <v>0</v>
      </c>
      <c r="T112" s="35"/>
      <c r="U112" s="35"/>
      <c r="V112" s="35"/>
      <c r="W112" s="35"/>
      <c r="X112" s="35"/>
      <c r="Y112" s="58"/>
    </row>
    <row r="113" spans="1:25" ht="75" x14ac:dyDescent="0.25">
      <c r="A113" t="s">
        <v>47</v>
      </c>
      <c r="B113" t="s">
        <v>224</v>
      </c>
      <c r="C113" t="s">
        <v>44</v>
      </c>
      <c r="D113" t="s">
        <v>45</v>
      </c>
      <c r="E113" t="s">
        <v>301</v>
      </c>
      <c r="F113" s="32" t="s">
        <v>74</v>
      </c>
      <c r="G113">
        <v>55</v>
      </c>
      <c r="H113" t="s">
        <v>86</v>
      </c>
      <c r="I113">
        <v>20</v>
      </c>
      <c r="J113" t="s">
        <v>183</v>
      </c>
      <c r="K113" s="32" t="s">
        <v>254</v>
      </c>
      <c r="L113" s="35">
        <v>156380.9</v>
      </c>
      <c r="M113" s="35"/>
      <c r="N113" s="35">
        <v>156380.76999999999</v>
      </c>
      <c r="O113" s="35">
        <v>0.13000000000465661</v>
      </c>
      <c r="P113" s="35"/>
      <c r="Q113" s="35"/>
      <c r="R113" s="35"/>
      <c r="S113" s="43">
        <f t="shared" si="2"/>
        <v>0</v>
      </c>
      <c r="T113" s="35"/>
      <c r="U113" s="35"/>
      <c r="V113" s="35"/>
      <c r="W113" s="35"/>
      <c r="X113" s="35">
        <f>O113</f>
        <v>0.13000000000465661</v>
      </c>
      <c r="Y113" s="58" t="s">
        <v>267</v>
      </c>
    </row>
    <row r="114" spans="1:25" ht="75" x14ac:dyDescent="0.25">
      <c r="A114" t="s">
        <v>47</v>
      </c>
      <c r="B114" t="s">
        <v>224</v>
      </c>
      <c r="C114" t="s">
        <v>44</v>
      </c>
      <c r="D114" t="s">
        <v>45</v>
      </c>
      <c r="E114" t="s">
        <v>301</v>
      </c>
      <c r="F114" s="32" t="s">
        <v>74</v>
      </c>
      <c r="G114">
        <v>5</v>
      </c>
      <c r="H114" t="s">
        <v>86</v>
      </c>
      <c r="I114">
        <v>20</v>
      </c>
      <c r="K114" s="32" t="s">
        <v>255</v>
      </c>
      <c r="L114" s="35">
        <v>149450.79999999999</v>
      </c>
      <c r="M114" s="35"/>
      <c r="N114" s="35">
        <v>149450.79999999999</v>
      </c>
      <c r="O114" s="35">
        <v>0</v>
      </c>
      <c r="P114" s="35"/>
      <c r="Q114" s="35"/>
      <c r="R114" s="35"/>
      <c r="S114" s="43">
        <f t="shared" si="2"/>
        <v>0</v>
      </c>
      <c r="T114" s="35"/>
      <c r="U114" s="35"/>
      <c r="V114" s="35"/>
      <c r="W114" s="35"/>
      <c r="X114" s="35"/>
      <c r="Y114" s="58"/>
    </row>
    <row r="115" spans="1:25" ht="87" customHeight="1" x14ac:dyDescent="0.25">
      <c r="A115" t="s">
        <v>47</v>
      </c>
      <c r="B115" t="s">
        <v>123</v>
      </c>
      <c r="C115" t="s">
        <v>44</v>
      </c>
      <c r="D115" t="s">
        <v>45</v>
      </c>
      <c r="E115" t="s">
        <v>301</v>
      </c>
      <c r="F115" s="32" t="s">
        <v>74</v>
      </c>
      <c r="G115">
        <v>45</v>
      </c>
      <c r="H115" t="s">
        <v>48</v>
      </c>
      <c r="I115">
        <v>20</v>
      </c>
      <c r="K115" s="50" t="s">
        <v>130</v>
      </c>
      <c r="L115" s="35">
        <f>324360+38500</f>
        <v>362860</v>
      </c>
      <c r="M115" s="35"/>
      <c r="N115" s="35">
        <v>257178.32</v>
      </c>
      <c r="O115" s="35">
        <f>L115-N115</f>
        <v>105681.68</v>
      </c>
      <c r="P115" s="35">
        <f>O115</f>
        <v>105681.68</v>
      </c>
      <c r="Q115" s="35">
        <f>P115+94389.88+26019.34</f>
        <v>226090.9</v>
      </c>
      <c r="R115" s="35"/>
      <c r="S115" s="43">
        <f t="shared" si="2"/>
        <v>226090.9</v>
      </c>
      <c r="T115" s="35"/>
      <c r="U115" s="35"/>
      <c r="V115" s="35"/>
      <c r="W115" s="35"/>
      <c r="X115" s="35"/>
      <c r="Y115" s="63" t="s">
        <v>362</v>
      </c>
    </row>
    <row r="116" spans="1:25" ht="75" x14ac:dyDescent="0.25">
      <c r="A116" t="s">
        <v>47</v>
      </c>
      <c r="B116" t="s">
        <v>123</v>
      </c>
      <c r="C116" t="s">
        <v>44</v>
      </c>
      <c r="D116" t="s">
        <v>45</v>
      </c>
      <c r="E116" t="s">
        <v>301</v>
      </c>
      <c r="F116" s="32" t="s">
        <v>74</v>
      </c>
      <c r="G116">
        <v>45</v>
      </c>
      <c r="H116" t="s">
        <v>48</v>
      </c>
      <c r="I116">
        <v>20</v>
      </c>
      <c r="K116" s="32" t="s">
        <v>333</v>
      </c>
      <c r="L116" s="35">
        <f>173000+41019.34</f>
        <v>214019.34</v>
      </c>
      <c r="M116" s="35">
        <v>28019.34</v>
      </c>
      <c r="N116" s="35">
        <f>175000+13000</f>
        <v>188000</v>
      </c>
      <c r="O116" s="35">
        <f>-2000+28019.34</f>
        <v>26019.34</v>
      </c>
      <c r="P116" s="47">
        <f>O116</f>
        <v>26019.34</v>
      </c>
      <c r="Q116" s="35">
        <v>0</v>
      </c>
      <c r="R116" s="35"/>
      <c r="S116" s="43">
        <f t="shared" si="2"/>
        <v>0</v>
      </c>
      <c r="T116" s="35"/>
      <c r="U116" s="35"/>
      <c r="V116" s="35"/>
      <c r="W116" s="35"/>
      <c r="X116" s="35"/>
      <c r="Y116" s="63" t="s">
        <v>334</v>
      </c>
    </row>
    <row r="117" spans="1:25" ht="75" x14ac:dyDescent="0.25">
      <c r="A117" t="s">
        <v>47</v>
      </c>
      <c r="B117" t="s">
        <v>123</v>
      </c>
      <c r="C117" t="s">
        <v>44</v>
      </c>
      <c r="D117" t="s">
        <v>45</v>
      </c>
      <c r="E117" t="s">
        <v>301</v>
      </c>
      <c r="F117" s="32" t="s">
        <v>74</v>
      </c>
      <c r="G117">
        <v>45</v>
      </c>
      <c r="H117" t="s">
        <v>48</v>
      </c>
      <c r="I117">
        <v>20</v>
      </c>
      <c r="K117" s="32" t="s">
        <v>223</v>
      </c>
      <c r="L117" s="35">
        <v>882928</v>
      </c>
      <c r="M117" s="35"/>
      <c r="N117" s="35">
        <v>882928</v>
      </c>
      <c r="O117" s="35">
        <v>0</v>
      </c>
      <c r="P117" s="35">
        <v>0</v>
      </c>
      <c r="Q117" s="35"/>
      <c r="R117" s="35"/>
      <c r="S117" s="43">
        <f t="shared" si="2"/>
        <v>0</v>
      </c>
      <c r="T117" s="35"/>
      <c r="U117" s="35"/>
      <c r="V117" s="35"/>
      <c r="W117" s="35"/>
      <c r="X117" s="35"/>
      <c r="Y117" s="58"/>
    </row>
    <row r="118" spans="1:25" ht="171" customHeight="1" x14ac:dyDescent="0.25">
      <c r="A118" t="s">
        <v>47</v>
      </c>
      <c r="B118" t="s">
        <v>123</v>
      </c>
      <c r="C118" t="s">
        <v>44</v>
      </c>
      <c r="D118" t="s">
        <v>45</v>
      </c>
      <c r="E118" t="s">
        <v>301</v>
      </c>
      <c r="F118" s="32" t="s">
        <v>74</v>
      </c>
      <c r="G118">
        <v>55</v>
      </c>
      <c r="H118" t="s">
        <v>86</v>
      </c>
      <c r="I118">
        <v>20</v>
      </c>
      <c r="K118" s="32" t="s">
        <v>281</v>
      </c>
      <c r="L118" s="35">
        <v>4084648.27</v>
      </c>
      <c r="M118" s="35">
        <v>944072.27</v>
      </c>
      <c r="N118" s="35">
        <v>3381098.25</v>
      </c>
      <c r="O118" s="35">
        <v>703550.02</v>
      </c>
      <c r="P118" s="35">
        <v>703550.02</v>
      </c>
      <c r="Q118" s="35">
        <v>703550.02</v>
      </c>
      <c r="R118" s="35"/>
      <c r="S118" s="43">
        <f t="shared" si="2"/>
        <v>703550.02</v>
      </c>
      <c r="T118" s="35"/>
      <c r="U118" s="35"/>
      <c r="V118" s="35"/>
      <c r="W118" s="35"/>
      <c r="X118" s="35"/>
      <c r="Y118" s="64" t="s">
        <v>384</v>
      </c>
    </row>
    <row r="119" spans="1:25" ht="75" x14ac:dyDescent="0.25">
      <c r="A119" t="s">
        <v>47</v>
      </c>
      <c r="B119" t="s">
        <v>153</v>
      </c>
      <c r="C119" t="s">
        <v>44</v>
      </c>
      <c r="D119" t="s">
        <v>45</v>
      </c>
      <c r="E119" t="s">
        <v>301</v>
      </c>
      <c r="F119" s="32" t="s">
        <v>74</v>
      </c>
      <c r="G119">
        <v>55</v>
      </c>
      <c r="H119" t="s">
        <v>86</v>
      </c>
      <c r="I119">
        <v>20</v>
      </c>
      <c r="J119" t="s">
        <v>183</v>
      </c>
      <c r="K119" s="32" t="s">
        <v>186</v>
      </c>
      <c r="L119" s="35">
        <v>125322.08</v>
      </c>
      <c r="M119" s="35"/>
      <c r="N119" s="35">
        <v>111656.1</v>
      </c>
      <c r="O119" s="35">
        <v>13665.979999999996</v>
      </c>
      <c r="P119" s="35"/>
      <c r="Q119" s="35"/>
      <c r="R119" s="35"/>
      <c r="S119" s="43">
        <f t="shared" si="2"/>
        <v>0</v>
      </c>
      <c r="T119" s="35"/>
      <c r="U119" s="35"/>
      <c r="V119" s="35"/>
      <c r="W119" s="35"/>
      <c r="X119" s="35">
        <f>O119</f>
        <v>13665.979999999996</v>
      </c>
      <c r="Y119" s="58" t="s">
        <v>267</v>
      </c>
    </row>
    <row r="120" spans="1:25" ht="135" x14ac:dyDescent="0.25">
      <c r="A120" t="s">
        <v>47</v>
      </c>
      <c r="B120" t="s">
        <v>153</v>
      </c>
      <c r="C120" t="s">
        <v>44</v>
      </c>
      <c r="D120" t="s">
        <v>45</v>
      </c>
      <c r="E120" t="s">
        <v>301</v>
      </c>
      <c r="F120" s="32" t="s">
        <v>74</v>
      </c>
      <c r="G120">
        <v>5</v>
      </c>
      <c r="H120" t="s">
        <v>86</v>
      </c>
      <c r="I120">
        <v>20</v>
      </c>
      <c r="K120" s="32" t="s">
        <v>154</v>
      </c>
      <c r="L120" s="35">
        <v>1005508.52</v>
      </c>
      <c r="M120" s="35">
        <v>40746.519999999997</v>
      </c>
      <c r="N120" s="35">
        <v>995298.13</v>
      </c>
      <c r="O120" s="35">
        <v>10210.390000000014</v>
      </c>
      <c r="P120" s="35">
        <v>10210.390000000014</v>
      </c>
      <c r="Q120" s="35">
        <f>10210.39</f>
        <v>10210.39</v>
      </c>
      <c r="R120" s="35"/>
      <c r="S120" s="43">
        <f t="shared" si="2"/>
        <v>10210.39</v>
      </c>
      <c r="T120" s="35"/>
      <c r="U120" s="35"/>
      <c r="V120" s="35"/>
      <c r="W120" s="35"/>
      <c r="X120" s="35"/>
      <c r="Y120" s="58" t="s">
        <v>404</v>
      </c>
    </row>
    <row r="121" spans="1:25" ht="75" x14ac:dyDescent="0.25">
      <c r="A121" t="s">
        <v>47</v>
      </c>
      <c r="B121" t="s">
        <v>159</v>
      </c>
      <c r="C121" t="s">
        <v>44</v>
      </c>
      <c r="D121" t="s">
        <v>45</v>
      </c>
      <c r="E121" t="s">
        <v>301</v>
      </c>
      <c r="F121" s="32" t="s">
        <v>74</v>
      </c>
      <c r="G121">
        <v>55</v>
      </c>
      <c r="H121" t="s">
        <v>86</v>
      </c>
      <c r="I121">
        <v>20</v>
      </c>
      <c r="K121" s="32" t="s">
        <v>160</v>
      </c>
      <c r="L121" s="35">
        <v>328600.51</v>
      </c>
      <c r="M121" s="35">
        <v>2732.51</v>
      </c>
      <c r="N121" s="35">
        <v>316148.24</v>
      </c>
      <c r="O121" s="35">
        <v>12452.270000000019</v>
      </c>
      <c r="P121" s="35">
        <v>12452.270000000019</v>
      </c>
      <c r="Q121" s="35">
        <v>12452.270000000019</v>
      </c>
      <c r="R121" s="35"/>
      <c r="S121" s="43">
        <f t="shared" ref="S121:S183" si="3">Q121+R121</f>
        <v>12452.270000000019</v>
      </c>
      <c r="T121" s="35"/>
      <c r="U121" s="35"/>
      <c r="V121" s="35"/>
      <c r="W121" s="35"/>
      <c r="X121" s="35"/>
      <c r="Y121" s="58" t="s">
        <v>405</v>
      </c>
    </row>
    <row r="122" spans="1:25" ht="75" x14ac:dyDescent="0.25">
      <c r="A122" t="s">
        <v>47</v>
      </c>
      <c r="B122" t="s">
        <v>157</v>
      </c>
      <c r="C122" t="s">
        <v>44</v>
      </c>
      <c r="D122" t="s">
        <v>45</v>
      </c>
      <c r="E122" t="s">
        <v>301</v>
      </c>
      <c r="F122" s="32" t="s">
        <v>74</v>
      </c>
      <c r="G122">
        <v>55</v>
      </c>
      <c r="H122" t="s">
        <v>86</v>
      </c>
      <c r="I122">
        <v>20</v>
      </c>
      <c r="K122" s="32" t="s">
        <v>158</v>
      </c>
      <c r="L122" s="35">
        <v>266678.56</v>
      </c>
      <c r="M122" s="35">
        <v>12439.56</v>
      </c>
      <c r="N122" s="35">
        <v>261886.17</v>
      </c>
      <c r="O122" s="35">
        <v>4792.3899999999849</v>
      </c>
      <c r="P122" s="35">
        <v>4792.3899999999849</v>
      </c>
      <c r="Q122" s="35">
        <v>4792.3899999999849</v>
      </c>
      <c r="R122" s="35"/>
      <c r="S122" s="43">
        <f t="shared" si="3"/>
        <v>4792.3899999999849</v>
      </c>
      <c r="T122" s="35"/>
      <c r="U122" s="35"/>
      <c r="V122" s="35"/>
      <c r="W122" s="35"/>
      <c r="X122" s="35"/>
      <c r="Y122" s="58" t="s">
        <v>406</v>
      </c>
    </row>
    <row r="123" spans="1:25" ht="75" x14ac:dyDescent="0.25">
      <c r="A123" t="s">
        <v>47</v>
      </c>
      <c r="B123" t="s">
        <v>47</v>
      </c>
      <c r="C123" t="s">
        <v>44</v>
      </c>
      <c r="D123" t="s">
        <v>45</v>
      </c>
      <c r="E123" t="s">
        <v>301</v>
      </c>
      <c r="F123" s="32" t="s">
        <v>74</v>
      </c>
      <c r="G123">
        <v>45</v>
      </c>
      <c r="H123" t="s">
        <v>48</v>
      </c>
      <c r="I123">
        <v>20</v>
      </c>
      <c r="K123" s="32" t="s">
        <v>269</v>
      </c>
      <c r="L123" s="35">
        <v>16047387</v>
      </c>
      <c r="M123" s="35"/>
      <c r="N123" s="35">
        <v>16047387</v>
      </c>
      <c r="O123" s="35">
        <v>0</v>
      </c>
      <c r="P123" s="35"/>
      <c r="Q123" s="35"/>
      <c r="R123" s="35"/>
      <c r="S123" s="43">
        <f t="shared" si="3"/>
        <v>0</v>
      </c>
      <c r="T123" s="35"/>
      <c r="U123" s="35"/>
      <c r="V123" s="35"/>
      <c r="W123" s="35"/>
      <c r="X123" s="35"/>
      <c r="Y123" s="58"/>
    </row>
    <row r="124" spans="1:25" ht="75" x14ac:dyDescent="0.25">
      <c r="A124" t="s">
        <v>47</v>
      </c>
      <c r="B124" t="s">
        <v>47</v>
      </c>
      <c r="C124" t="s">
        <v>44</v>
      </c>
      <c r="D124" t="s">
        <v>45</v>
      </c>
      <c r="E124" t="s">
        <v>301</v>
      </c>
      <c r="F124" s="32" t="s">
        <v>74</v>
      </c>
      <c r="G124">
        <v>45</v>
      </c>
      <c r="H124" t="s">
        <v>48</v>
      </c>
      <c r="I124">
        <v>20</v>
      </c>
      <c r="K124" s="32" t="s">
        <v>222</v>
      </c>
      <c r="L124" s="35">
        <v>110814</v>
      </c>
      <c r="M124" s="35"/>
      <c r="N124" s="35">
        <v>109783</v>
      </c>
      <c r="O124" s="35">
        <v>1031</v>
      </c>
      <c r="P124" s="35">
        <v>1031</v>
      </c>
      <c r="Q124" s="35">
        <v>1031</v>
      </c>
      <c r="R124" s="35"/>
      <c r="S124" s="43">
        <f t="shared" si="3"/>
        <v>1031</v>
      </c>
      <c r="T124" s="35"/>
      <c r="U124" s="35"/>
      <c r="V124" s="35"/>
      <c r="W124" s="35"/>
      <c r="X124" s="35"/>
      <c r="Y124" s="58" t="s">
        <v>329</v>
      </c>
    </row>
    <row r="125" spans="1:25" ht="105" x14ac:dyDescent="0.25">
      <c r="A125" t="s">
        <v>47</v>
      </c>
      <c r="B125" t="s">
        <v>47</v>
      </c>
      <c r="C125" t="s">
        <v>44</v>
      </c>
      <c r="D125" t="s">
        <v>45</v>
      </c>
      <c r="E125" t="s">
        <v>301</v>
      </c>
      <c r="F125" s="32" t="s">
        <v>74</v>
      </c>
      <c r="G125">
        <v>45</v>
      </c>
      <c r="H125" t="s">
        <v>48</v>
      </c>
      <c r="I125">
        <v>20</v>
      </c>
      <c r="K125" s="32" t="s">
        <v>83</v>
      </c>
      <c r="L125" s="35">
        <v>517623.65</v>
      </c>
      <c r="M125" s="35">
        <v>416925.65</v>
      </c>
      <c r="N125" s="35"/>
      <c r="O125" s="35">
        <v>517623.65</v>
      </c>
      <c r="P125" s="35">
        <v>517623.65</v>
      </c>
      <c r="Q125" s="35">
        <v>517623.65</v>
      </c>
      <c r="R125" s="35"/>
      <c r="S125" s="43">
        <f t="shared" si="3"/>
        <v>517623.65</v>
      </c>
      <c r="T125" s="35"/>
      <c r="U125" s="35"/>
      <c r="V125" s="35"/>
      <c r="W125" s="35"/>
      <c r="X125" s="35"/>
      <c r="Y125" s="58" t="s">
        <v>330</v>
      </c>
    </row>
    <row r="126" spans="1:25" ht="75" x14ac:dyDescent="0.25">
      <c r="A126" t="s">
        <v>47</v>
      </c>
      <c r="B126" t="s">
        <v>47</v>
      </c>
      <c r="C126" t="s">
        <v>44</v>
      </c>
      <c r="D126" t="s">
        <v>45</v>
      </c>
      <c r="E126" t="s">
        <v>301</v>
      </c>
      <c r="F126" s="32" t="s">
        <v>74</v>
      </c>
      <c r="G126">
        <v>45</v>
      </c>
      <c r="H126" t="s">
        <v>48</v>
      </c>
      <c r="I126">
        <v>20</v>
      </c>
      <c r="K126" s="32" t="s">
        <v>51</v>
      </c>
      <c r="L126" s="35">
        <v>821439.5</v>
      </c>
      <c r="M126" s="35">
        <v>212079.5</v>
      </c>
      <c r="N126" s="35">
        <v>640989.18000000005</v>
      </c>
      <c r="O126" s="35">
        <v>180450.31999999995</v>
      </c>
      <c r="P126" s="35">
        <v>180450.31999999995</v>
      </c>
      <c r="Q126" s="35">
        <v>180450.31999999995</v>
      </c>
      <c r="R126" s="35"/>
      <c r="S126" s="43">
        <f t="shared" si="3"/>
        <v>180450.31999999995</v>
      </c>
      <c r="T126" s="35"/>
      <c r="U126" s="35"/>
      <c r="V126" s="35"/>
      <c r="W126" s="35"/>
      <c r="X126" s="35"/>
      <c r="Y126" s="58" t="s">
        <v>268</v>
      </c>
    </row>
    <row r="127" spans="1:25" ht="75" x14ac:dyDescent="0.25">
      <c r="A127" t="s">
        <v>47</v>
      </c>
      <c r="B127" t="s">
        <v>47</v>
      </c>
      <c r="C127" t="s">
        <v>44</v>
      </c>
      <c r="D127" t="s">
        <v>45</v>
      </c>
      <c r="E127" t="s">
        <v>301</v>
      </c>
      <c r="F127" s="32" t="s">
        <v>74</v>
      </c>
      <c r="G127">
        <v>50</v>
      </c>
      <c r="H127" t="s">
        <v>86</v>
      </c>
      <c r="I127">
        <v>20</v>
      </c>
      <c r="K127" s="32" t="s">
        <v>87</v>
      </c>
      <c r="L127" s="35">
        <v>27549</v>
      </c>
      <c r="M127" s="35"/>
      <c r="N127" s="35">
        <v>12166.46</v>
      </c>
      <c r="O127" s="35">
        <v>15382.54</v>
      </c>
      <c r="P127" s="35">
        <v>15382.54</v>
      </c>
      <c r="Q127" s="35">
        <v>15382.54</v>
      </c>
      <c r="R127" s="35"/>
      <c r="S127" s="43">
        <f t="shared" si="3"/>
        <v>15382.54</v>
      </c>
      <c r="T127" s="35"/>
      <c r="U127" s="35"/>
      <c r="V127" s="35"/>
      <c r="W127" s="35"/>
      <c r="X127" s="35"/>
      <c r="Y127" s="58" t="s">
        <v>407</v>
      </c>
    </row>
    <row r="128" spans="1:25" ht="75" x14ac:dyDescent="0.25">
      <c r="A128" t="s">
        <v>47</v>
      </c>
      <c r="B128" t="s">
        <v>155</v>
      </c>
      <c r="C128" t="s">
        <v>44</v>
      </c>
      <c r="D128" t="s">
        <v>45</v>
      </c>
      <c r="E128" t="s">
        <v>301</v>
      </c>
      <c r="F128" s="32" t="s">
        <v>74</v>
      </c>
      <c r="G128">
        <v>55</v>
      </c>
      <c r="H128" t="s">
        <v>86</v>
      </c>
      <c r="I128">
        <v>20</v>
      </c>
      <c r="J128" t="s">
        <v>183</v>
      </c>
      <c r="K128" s="32" t="s">
        <v>256</v>
      </c>
      <c r="L128" s="35">
        <v>3946747.57</v>
      </c>
      <c r="M128" s="35"/>
      <c r="N128" s="35">
        <v>2938545.94</v>
      </c>
      <c r="O128" s="35">
        <v>1008201.6299999999</v>
      </c>
      <c r="P128" s="35"/>
      <c r="Q128" s="35"/>
      <c r="R128" s="35"/>
      <c r="S128" s="43">
        <f t="shared" si="3"/>
        <v>0</v>
      </c>
      <c r="T128" s="35"/>
      <c r="U128" s="35"/>
      <c r="V128" s="35"/>
      <c r="W128" s="35"/>
      <c r="X128" s="35">
        <f>O128</f>
        <v>1008201.6299999999</v>
      </c>
      <c r="Y128" s="58" t="s">
        <v>267</v>
      </c>
    </row>
    <row r="129" spans="1:25" ht="409.5" customHeight="1" x14ac:dyDescent="0.25">
      <c r="A129" t="s">
        <v>47</v>
      </c>
      <c r="B129" t="s">
        <v>155</v>
      </c>
      <c r="C129" t="s">
        <v>44</v>
      </c>
      <c r="D129" t="s">
        <v>45</v>
      </c>
      <c r="E129" t="s">
        <v>301</v>
      </c>
      <c r="F129" s="32" t="s">
        <v>74</v>
      </c>
      <c r="G129">
        <v>55</v>
      </c>
      <c r="H129" t="s">
        <v>86</v>
      </c>
      <c r="I129">
        <v>20</v>
      </c>
      <c r="K129" s="32" t="s">
        <v>156</v>
      </c>
      <c r="L129" s="35">
        <v>3551626.5100000002</v>
      </c>
      <c r="M129" s="35">
        <v>168247.44</v>
      </c>
      <c r="N129" s="35">
        <v>3434484.05</v>
      </c>
      <c r="O129" s="35">
        <v>117142.46000000043</v>
      </c>
      <c r="P129" s="35">
        <v>117142.46000000043</v>
      </c>
      <c r="Q129" s="35">
        <v>117142.46000000043</v>
      </c>
      <c r="R129" s="35"/>
      <c r="S129" s="43">
        <f t="shared" si="3"/>
        <v>117142.46000000043</v>
      </c>
      <c r="T129" s="35"/>
      <c r="U129" s="35"/>
      <c r="V129" s="35"/>
      <c r="W129" s="35"/>
      <c r="X129" s="35"/>
      <c r="Y129" s="58" t="s">
        <v>258</v>
      </c>
    </row>
    <row r="130" spans="1:25" ht="75" x14ac:dyDescent="0.25">
      <c r="A130" t="s">
        <v>47</v>
      </c>
      <c r="B130" t="s">
        <v>123</v>
      </c>
      <c r="C130" t="s">
        <v>44</v>
      </c>
      <c r="D130" t="s">
        <v>45</v>
      </c>
      <c r="E130" t="s">
        <v>301</v>
      </c>
      <c r="F130" s="32" t="s">
        <v>74</v>
      </c>
      <c r="G130">
        <v>55</v>
      </c>
      <c r="H130" t="s">
        <v>86</v>
      </c>
      <c r="I130">
        <v>20</v>
      </c>
      <c r="J130" t="s">
        <v>183</v>
      </c>
      <c r="K130" s="32" t="s">
        <v>186</v>
      </c>
      <c r="L130" s="35">
        <v>285062.76</v>
      </c>
      <c r="M130" s="35"/>
      <c r="N130" s="35">
        <v>262728.73</v>
      </c>
      <c r="O130" s="35">
        <v>22334.030000000028</v>
      </c>
      <c r="P130" s="35"/>
      <c r="Q130" s="35"/>
      <c r="R130" s="35"/>
      <c r="S130" s="43">
        <f t="shared" si="3"/>
        <v>0</v>
      </c>
      <c r="T130" s="35"/>
      <c r="U130" s="35"/>
      <c r="V130" s="35"/>
      <c r="W130" s="35"/>
      <c r="X130" s="35">
        <f>O130</f>
        <v>22334.030000000028</v>
      </c>
      <c r="Y130" s="58" t="s">
        <v>267</v>
      </c>
    </row>
    <row r="131" spans="1:25" ht="75" x14ac:dyDescent="0.25">
      <c r="A131" t="s">
        <v>47</v>
      </c>
      <c r="B131" t="s">
        <v>123</v>
      </c>
      <c r="C131" t="s">
        <v>44</v>
      </c>
      <c r="D131" t="s">
        <v>45</v>
      </c>
      <c r="E131" t="s">
        <v>301</v>
      </c>
      <c r="F131" s="32" t="s">
        <v>74</v>
      </c>
      <c r="G131">
        <v>5</v>
      </c>
      <c r="H131" t="s">
        <v>86</v>
      </c>
      <c r="I131">
        <v>20</v>
      </c>
      <c r="J131" t="s">
        <v>136</v>
      </c>
      <c r="K131" s="32" t="s">
        <v>137</v>
      </c>
      <c r="L131" s="35">
        <v>130013</v>
      </c>
      <c r="M131" s="35">
        <v>130013</v>
      </c>
      <c r="N131" s="35">
        <v>50195.82</v>
      </c>
      <c r="O131" s="35">
        <v>79817.179999999993</v>
      </c>
      <c r="P131" s="35"/>
      <c r="Q131" s="35"/>
      <c r="R131" s="35"/>
      <c r="S131" s="43">
        <f t="shared" si="3"/>
        <v>0</v>
      </c>
      <c r="T131" s="35"/>
      <c r="U131" s="35">
        <f>O131</f>
        <v>79817.179999999993</v>
      </c>
      <c r="V131" s="35"/>
      <c r="W131" s="35"/>
      <c r="X131" s="35"/>
      <c r="Y131" s="58" t="s">
        <v>328</v>
      </c>
    </row>
    <row r="132" spans="1:25" ht="75" x14ac:dyDescent="0.25">
      <c r="A132" t="s">
        <v>47</v>
      </c>
      <c r="B132" t="s">
        <v>47</v>
      </c>
      <c r="C132" t="s">
        <v>44</v>
      </c>
      <c r="D132" t="s">
        <v>45</v>
      </c>
      <c r="E132" t="s">
        <v>301</v>
      </c>
      <c r="F132" s="32" t="s">
        <v>74</v>
      </c>
      <c r="G132">
        <v>45</v>
      </c>
      <c r="H132" t="s">
        <v>48</v>
      </c>
      <c r="I132">
        <v>20</v>
      </c>
      <c r="J132" t="s">
        <v>220</v>
      </c>
      <c r="K132" s="32" t="s">
        <v>221</v>
      </c>
      <c r="L132" s="35">
        <v>64200</v>
      </c>
      <c r="M132" s="35"/>
      <c r="N132" s="35">
        <v>64200</v>
      </c>
      <c r="O132" s="35">
        <v>0</v>
      </c>
      <c r="P132" s="35"/>
      <c r="Q132" s="35"/>
      <c r="R132" s="35"/>
      <c r="S132" s="43">
        <f t="shared" si="3"/>
        <v>0</v>
      </c>
      <c r="T132" s="35"/>
      <c r="U132" s="35"/>
      <c r="V132" s="35"/>
      <c r="W132" s="35"/>
      <c r="X132" s="35"/>
      <c r="Y132" s="58"/>
    </row>
    <row r="133" spans="1:25" ht="75" x14ac:dyDescent="0.25">
      <c r="A133" t="s">
        <v>47</v>
      </c>
      <c r="B133" t="s">
        <v>123</v>
      </c>
      <c r="C133" t="s">
        <v>44</v>
      </c>
      <c r="D133" t="s">
        <v>45</v>
      </c>
      <c r="E133" t="s">
        <v>301</v>
      </c>
      <c r="F133" s="32" t="s">
        <v>74</v>
      </c>
      <c r="G133">
        <v>45</v>
      </c>
      <c r="H133" t="s">
        <v>48</v>
      </c>
      <c r="I133">
        <v>20</v>
      </c>
      <c r="J133" t="s">
        <v>116</v>
      </c>
      <c r="K133" s="32" t="s">
        <v>117</v>
      </c>
      <c r="L133" s="35">
        <v>55000</v>
      </c>
      <c r="M133" s="35">
        <v>55000</v>
      </c>
      <c r="N133" s="35">
        <v>55000</v>
      </c>
      <c r="O133" s="35">
        <v>0</v>
      </c>
      <c r="P133" s="35"/>
      <c r="Q133" s="35"/>
      <c r="R133" s="35"/>
      <c r="S133" s="43">
        <f t="shared" si="3"/>
        <v>0</v>
      </c>
      <c r="T133" s="35"/>
      <c r="U133" s="35"/>
      <c r="V133" s="35"/>
      <c r="W133" s="35"/>
      <c r="X133" s="35"/>
      <c r="Y133" s="63"/>
    </row>
    <row r="134" spans="1:25" ht="75" x14ac:dyDescent="0.25">
      <c r="A134" t="s">
        <v>47</v>
      </c>
      <c r="B134" t="s">
        <v>123</v>
      </c>
      <c r="C134" t="s">
        <v>44</v>
      </c>
      <c r="D134" t="s">
        <v>45</v>
      </c>
      <c r="E134" t="s">
        <v>301</v>
      </c>
      <c r="F134" s="32" t="s">
        <v>74</v>
      </c>
      <c r="G134">
        <v>45</v>
      </c>
      <c r="H134" t="s">
        <v>48</v>
      </c>
      <c r="I134">
        <v>20</v>
      </c>
      <c r="J134" t="s">
        <v>135</v>
      </c>
      <c r="K134" s="32" t="s">
        <v>132</v>
      </c>
      <c r="L134" s="35">
        <v>469652</v>
      </c>
      <c r="M134" s="35">
        <v>469652</v>
      </c>
      <c r="N134" s="35">
        <v>469652</v>
      </c>
      <c r="O134" s="35">
        <v>0</v>
      </c>
      <c r="P134" s="35"/>
      <c r="Q134" s="35"/>
      <c r="R134" s="35"/>
      <c r="S134" s="43">
        <f t="shared" si="3"/>
        <v>0</v>
      </c>
      <c r="T134" s="35"/>
      <c r="U134" s="35"/>
      <c r="V134" s="35"/>
      <c r="W134" s="35"/>
      <c r="X134" s="35"/>
      <c r="Y134" s="58"/>
    </row>
    <row r="135" spans="1:25" ht="165" x14ac:dyDescent="0.25">
      <c r="A135" t="s">
        <v>47</v>
      </c>
      <c r="B135" t="s">
        <v>123</v>
      </c>
      <c r="C135" t="s">
        <v>44</v>
      </c>
      <c r="D135" t="s">
        <v>45</v>
      </c>
      <c r="E135" t="s">
        <v>301</v>
      </c>
      <c r="F135" s="32" t="s">
        <v>74</v>
      </c>
      <c r="G135">
        <v>45</v>
      </c>
      <c r="H135" t="s">
        <v>48</v>
      </c>
      <c r="I135">
        <v>20</v>
      </c>
      <c r="J135" t="s">
        <v>133</v>
      </c>
      <c r="K135" s="32" t="s">
        <v>132</v>
      </c>
      <c r="L135" s="35">
        <v>2436115</v>
      </c>
      <c r="M135" s="35">
        <v>2436115</v>
      </c>
      <c r="N135" s="35">
        <v>941156</v>
      </c>
      <c r="O135" s="35">
        <v>1494959</v>
      </c>
      <c r="P135" s="47">
        <v>1494959</v>
      </c>
      <c r="Q135" s="35">
        <v>1494959</v>
      </c>
      <c r="R135" s="35"/>
      <c r="S135" s="43">
        <f t="shared" si="3"/>
        <v>1494959</v>
      </c>
      <c r="T135" s="35"/>
      <c r="U135" s="35"/>
      <c r="V135" s="35"/>
      <c r="W135" s="35"/>
      <c r="X135" s="35"/>
      <c r="Y135" s="60" t="s">
        <v>383</v>
      </c>
    </row>
    <row r="136" spans="1:25" ht="174" customHeight="1" x14ac:dyDescent="0.25">
      <c r="A136" t="s">
        <v>47</v>
      </c>
      <c r="B136" t="s">
        <v>123</v>
      </c>
      <c r="C136" t="s">
        <v>44</v>
      </c>
      <c r="D136" t="s">
        <v>45</v>
      </c>
      <c r="E136" t="s">
        <v>301</v>
      </c>
      <c r="F136" s="32" t="s">
        <v>74</v>
      </c>
      <c r="G136">
        <v>45</v>
      </c>
      <c r="H136" t="s">
        <v>48</v>
      </c>
      <c r="I136">
        <v>20</v>
      </c>
      <c r="J136" t="s">
        <v>134</v>
      </c>
      <c r="K136" s="32" t="s">
        <v>132</v>
      </c>
      <c r="L136" s="35">
        <v>3000000</v>
      </c>
      <c r="M136" s="35">
        <v>3000000</v>
      </c>
      <c r="N136" s="35">
        <v>490395</v>
      </c>
      <c r="O136" s="35">
        <v>2509605</v>
      </c>
      <c r="P136" s="35">
        <v>2509605</v>
      </c>
      <c r="Q136" s="35">
        <v>2509605</v>
      </c>
      <c r="R136" s="35"/>
      <c r="S136" s="43">
        <f t="shared" si="3"/>
        <v>2509605</v>
      </c>
      <c r="T136" s="35"/>
      <c r="U136" s="35"/>
      <c r="V136" s="35"/>
      <c r="W136" s="35"/>
      <c r="X136" s="35"/>
      <c r="Y136" s="58" t="s">
        <v>382</v>
      </c>
    </row>
    <row r="137" spans="1:25" ht="180" x14ac:dyDescent="0.25">
      <c r="A137" t="s">
        <v>47</v>
      </c>
      <c r="B137" t="s">
        <v>123</v>
      </c>
      <c r="C137" t="s">
        <v>44</v>
      </c>
      <c r="D137" t="s">
        <v>45</v>
      </c>
      <c r="E137" t="s">
        <v>301</v>
      </c>
      <c r="F137" s="32" t="s">
        <v>74</v>
      </c>
      <c r="G137">
        <v>45</v>
      </c>
      <c r="H137" t="s">
        <v>48</v>
      </c>
      <c r="I137">
        <v>20</v>
      </c>
      <c r="J137" t="s">
        <v>219</v>
      </c>
      <c r="K137" s="32" t="s">
        <v>132</v>
      </c>
      <c r="L137" s="35">
        <v>3000000</v>
      </c>
      <c r="M137" s="35"/>
      <c r="N137" s="35"/>
      <c r="O137" s="35">
        <v>3000000</v>
      </c>
      <c r="P137" s="35">
        <v>3000000</v>
      </c>
      <c r="Q137" s="35">
        <v>3000000</v>
      </c>
      <c r="R137" s="35"/>
      <c r="S137" s="43">
        <f t="shared" si="3"/>
        <v>3000000</v>
      </c>
      <c r="T137" s="35"/>
      <c r="U137" s="35"/>
      <c r="V137" s="35"/>
      <c r="W137" s="35"/>
      <c r="X137" s="35"/>
      <c r="Y137" s="58" t="s">
        <v>381</v>
      </c>
    </row>
    <row r="138" spans="1:25" ht="199.15" customHeight="1" x14ac:dyDescent="0.25">
      <c r="A138" t="s">
        <v>47</v>
      </c>
      <c r="B138" t="s">
        <v>123</v>
      </c>
      <c r="C138" t="s">
        <v>44</v>
      </c>
      <c r="D138" t="s">
        <v>45</v>
      </c>
      <c r="E138" t="s">
        <v>301</v>
      </c>
      <c r="F138" s="32" t="s">
        <v>74</v>
      </c>
      <c r="G138">
        <v>45</v>
      </c>
      <c r="H138" t="s">
        <v>48</v>
      </c>
      <c r="I138">
        <v>20</v>
      </c>
      <c r="J138" t="s">
        <v>131</v>
      </c>
      <c r="K138" s="32" t="s">
        <v>132</v>
      </c>
      <c r="L138" s="35">
        <v>165448</v>
      </c>
      <c r="M138" s="35">
        <v>165448</v>
      </c>
      <c r="N138" s="35"/>
      <c r="O138" s="35">
        <v>165448</v>
      </c>
      <c r="P138" s="35">
        <v>165448</v>
      </c>
      <c r="Q138" s="35">
        <v>165448</v>
      </c>
      <c r="R138" s="35"/>
      <c r="S138" s="43">
        <f t="shared" si="3"/>
        <v>165448</v>
      </c>
      <c r="T138" s="35"/>
      <c r="U138" s="35"/>
      <c r="V138" s="35"/>
      <c r="W138" s="35"/>
      <c r="X138" s="35"/>
      <c r="Y138" s="58" t="s">
        <v>327</v>
      </c>
    </row>
    <row r="139" spans="1:25" ht="75" x14ac:dyDescent="0.25">
      <c r="A139" t="s">
        <v>47</v>
      </c>
      <c r="B139" t="s">
        <v>47</v>
      </c>
      <c r="C139" t="s">
        <v>44</v>
      </c>
      <c r="D139" t="s">
        <v>45</v>
      </c>
      <c r="E139" t="s">
        <v>301</v>
      </c>
      <c r="F139" s="32" t="s">
        <v>74</v>
      </c>
      <c r="G139">
        <v>45</v>
      </c>
      <c r="H139" t="s">
        <v>48</v>
      </c>
      <c r="I139">
        <v>20</v>
      </c>
      <c r="J139" s="70" t="s">
        <v>217</v>
      </c>
      <c r="K139" s="32" t="s">
        <v>218</v>
      </c>
      <c r="L139" s="35">
        <v>95000</v>
      </c>
      <c r="M139" s="35"/>
      <c r="N139" s="35">
        <v>95000</v>
      </c>
      <c r="O139" s="35">
        <v>0</v>
      </c>
      <c r="P139" s="35"/>
      <c r="Q139" s="35"/>
      <c r="R139" s="35"/>
      <c r="S139" s="43">
        <f t="shared" si="3"/>
        <v>0</v>
      </c>
      <c r="T139" s="35"/>
      <c r="U139" s="35"/>
      <c r="V139" s="35"/>
      <c r="W139" s="35"/>
      <c r="X139" s="35"/>
      <c r="Y139" s="58"/>
    </row>
    <row r="140" spans="1:25" ht="150" x14ac:dyDescent="0.25">
      <c r="A140" t="s">
        <v>47</v>
      </c>
      <c r="B140" t="s">
        <v>47</v>
      </c>
      <c r="C140" t="s">
        <v>44</v>
      </c>
      <c r="D140" t="s">
        <v>45</v>
      </c>
      <c r="E140" t="s">
        <v>301</v>
      </c>
      <c r="F140" s="32" t="s">
        <v>74</v>
      </c>
      <c r="G140">
        <v>45</v>
      </c>
      <c r="H140" t="s">
        <v>48</v>
      </c>
      <c r="I140">
        <v>20</v>
      </c>
      <c r="J140" s="70" t="s">
        <v>215</v>
      </c>
      <c r="K140" s="32" t="s">
        <v>216</v>
      </c>
      <c r="L140" s="35">
        <v>100000</v>
      </c>
      <c r="M140" s="35"/>
      <c r="N140" s="35"/>
      <c r="O140" s="35">
        <v>100000</v>
      </c>
      <c r="P140" s="35">
        <v>100000</v>
      </c>
      <c r="Q140" s="35">
        <v>100000</v>
      </c>
      <c r="R140" s="35"/>
      <c r="S140" s="43">
        <f t="shared" si="3"/>
        <v>100000</v>
      </c>
      <c r="T140" s="35"/>
      <c r="U140" s="35"/>
      <c r="V140" s="35"/>
      <c r="W140" s="35"/>
      <c r="X140" s="35"/>
      <c r="Y140" s="58" t="s">
        <v>326</v>
      </c>
    </row>
    <row r="141" spans="1:25" ht="75" x14ac:dyDescent="0.25">
      <c r="A141" t="s">
        <v>47</v>
      </c>
      <c r="B141" t="s">
        <v>47</v>
      </c>
      <c r="C141" t="s">
        <v>44</v>
      </c>
      <c r="D141" t="s">
        <v>45</v>
      </c>
      <c r="E141" t="s">
        <v>301</v>
      </c>
      <c r="F141" s="32" t="s">
        <v>74</v>
      </c>
      <c r="G141">
        <v>45</v>
      </c>
      <c r="H141" t="s">
        <v>48</v>
      </c>
      <c r="I141">
        <v>20</v>
      </c>
      <c r="J141" s="70" t="s">
        <v>213</v>
      </c>
      <c r="K141" s="32" t="s">
        <v>214</v>
      </c>
      <c r="L141" s="35">
        <v>111700</v>
      </c>
      <c r="M141" s="35"/>
      <c r="N141" s="35">
        <v>111700</v>
      </c>
      <c r="O141" s="35">
        <v>0</v>
      </c>
      <c r="P141" s="35"/>
      <c r="Q141" s="35"/>
      <c r="R141" s="35"/>
      <c r="S141" s="43">
        <f t="shared" si="3"/>
        <v>0</v>
      </c>
      <c r="T141" s="35"/>
      <c r="U141" s="35"/>
      <c r="V141" s="35"/>
      <c r="W141" s="35"/>
      <c r="X141" s="35"/>
      <c r="Y141" s="58"/>
    </row>
    <row r="142" spans="1:25" ht="90" x14ac:dyDescent="0.25">
      <c r="A142" t="s">
        <v>47</v>
      </c>
      <c r="B142" t="s">
        <v>155</v>
      </c>
      <c r="C142" t="s">
        <v>44</v>
      </c>
      <c r="D142" t="s">
        <v>45</v>
      </c>
      <c r="E142" t="s">
        <v>301</v>
      </c>
      <c r="F142" s="32" t="s">
        <v>74</v>
      </c>
      <c r="G142">
        <v>15</v>
      </c>
      <c r="H142" t="s">
        <v>99</v>
      </c>
      <c r="I142">
        <v>20</v>
      </c>
      <c r="J142" s="70" t="s">
        <v>211</v>
      </c>
      <c r="K142" s="32" t="s">
        <v>212</v>
      </c>
      <c r="L142" s="35">
        <v>60374.65</v>
      </c>
      <c r="M142" s="35"/>
      <c r="N142" s="35">
        <v>25500</v>
      </c>
      <c r="O142" s="35">
        <v>34874.65</v>
      </c>
      <c r="P142" s="35">
        <v>34874.65</v>
      </c>
      <c r="Q142" s="35">
        <v>34874.65</v>
      </c>
      <c r="R142" s="35"/>
      <c r="S142" s="43">
        <f t="shared" si="3"/>
        <v>34874.65</v>
      </c>
      <c r="T142" s="35"/>
      <c r="U142" s="35"/>
      <c r="V142" s="35"/>
      <c r="W142" s="35"/>
      <c r="X142" s="35"/>
      <c r="Y142" s="58" t="s">
        <v>325</v>
      </c>
    </row>
    <row r="143" spans="1:25" ht="90" x14ac:dyDescent="0.25">
      <c r="A143" t="s">
        <v>47</v>
      </c>
      <c r="B143" t="s">
        <v>157</v>
      </c>
      <c r="C143" t="s">
        <v>44</v>
      </c>
      <c r="D143" t="s">
        <v>45</v>
      </c>
      <c r="E143" t="s">
        <v>301</v>
      </c>
      <c r="F143" s="32" t="s">
        <v>74</v>
      </c>
      <c r="G143">
        <v>15</v>
      </c>
      <c r="H143" t="s">
        <v>99</v>
      </c>
      <c r="I143">
        <v>20</v>
      </c>
      <c r="J143" s="70" t="s">
        <v>209</v>
      </c>
      <c r="K143" s="32" t="s">
        <v>210</v>
      </c>
      <c r="L143" s="35">
        <v>80000</v>
      </c>
      <c r="M143" s="35"/>
      <c r="N143" s="35">
        <v>34142</v>
      </c>
      <c r="O143" s="35">
        <v>45858</v>
      </c>
      <c r="P143" s="35">
        <v>45858</v>
      </c>
      <c r="Q143" s="35">
        <v>45858</v>
      </c>
      <c r="R143" s="35"/>
      <c r="S143" s="43">
        <f t="shared" si="3"/>
        <v>45858</v>
      </c>
      <c r="T143" s="35"/>
      <c r="U143" s="35"/>
      <c r="V143" s="35"/>
      <c r="W143" s="35"/>
      <c r="X143" s="35"/>
      <c r="Y143" s="58" t="s">
        <v>324</v>
      </c>
    </row>
    <row r="144" spans="1:25" ht="75" x14ac:dyDescent="0.25">
      <c r="A144" t="s">
        <v>47</v>
      </c>
      <c r="B144" t="s">
        <v>159</v>
      </c>
      <c r="C144" t="s">
        <v>44</v>
      </c>
      <c r="D144" t="s">
        <v>45</v>
      </c>
      <c r="E144" t="s">
        <v>301</v>
      </c>
      <c r="F144" s="32" t="s">
        <v>74</v>
      </c>
      <c r="G144">
        <v>15</v>
      </c>
      <c r="H144" t="s">
        <v>99</v>
      </c>
      <c r="I144">
        <v>20</v>
      </c>
      <c r="J144" s="70" t="s">
        <v>207</v>
      </c>
      <c r="K144" s="32" t="s">
        <v>208</v>
      </c>
      <c r="L144" s="35">
        <v>60000</v>
      </c>
      <c r="M144" s="35"/>
      <c r="N144" s="35">
        <v>54805</v>
      </c>
      <c r="O144" s="35">
        <v>5195</v>
      </c>
      <c r="P144" s="35">
        <v>5195</v>
      </c>
      <c r="Q144" s="35"/>
      <c r="R144" s="35">
        <f>P144</f>
        <v>5195</v>
      </c>
      <c r="S144" s="43">
        <f t="shared" si="3"/>
        <v>5195</v>
      </c>
      <c r="T144" s="35"/>
      <c r="U144" s="35"/>
      <c r="V144" s="35"/>
      <c r="W144" s="35"/>
      <c r="X144" s="35"/>
      <c r="Y144" s="58" t="s">
        <v>282</v>
      </c>
    </row>
    <row r="145" spans="1:25" ht="117" customHeight="1" x14ac:dyDescent="0.25">
      <c r="A145" t="s">
        <v>47</v>
      </c>
      <c r="B145" t="s">
        <v>123</v>
      </c>
      <c r="C145" t="s">
        <v>44</v>
      </c>
      <c r="D145" t="s">
        <v>45</v>
      </c>
      <c r="E145" t="s">
        <v>301</v>
      </c>
      <c r="F145" s="32" t="s">
        <v>74</v>
      </c>
      <c r="G145">
        <v>45</v>
      </c>
      <c r="H145" t="s">
        <v>48</v>
      </c>
      <c r="I145">
        <v>20</v>
      </c>
      <c r="J145" s="70" t="s">
        <v>128</v>
      </c>
      <c r="K145" s="32" t="s">
        <v>129</v>
      </c>
      <c r="L145" s="35">
        <v>5326440.2</v>
      </c>
      <c r="M145" s="35">
        <v>2552540.2000000002</v>
      </c>
      <c r="N145" s="35">
        <v>2618798.35</v>
      </c>
      <c r="O145" s="35">
        <v>2707641.85</v>
      </c>
      <c r="P145" s="47">
        <v>2707641.85</v>
      </c>
      <c r="Q145" s="35">
        <v>2707641.85</v>
      </c>
      <c r="R145" s="35"/>
      <c r="S145" s="43">
        <f t="shared" si="3"/>
        <v>2707641.85</v>
      </c>
      <c r="T145" s="35"/>
      <c r="U145" s="35"/>
      <c r="V145" s="35"/>
      <c r="W145" s="35"/>
      <c r="X145" s="35"/>
      <c r="Y145" s="58" t="s">
        <v>385</v>
      </c>
    </row>
    <row r="146" spans="1:25" ht="75" x14ac:dyDescent="0.25">
      <c r="A146" t="s">
        <v>47</v>
      </c>
      <c r="B146" t="s">
        <v>47</v>
      </c>
      <c r="C146" t="s">
        <v>44</v>
      </c>
      <c r="D146" t="s">
        <v>45</v>
      </c>
      <c r="E146" t="s">
        <v>301</v>
      </c>
      <c r="F146" s="32" t="s">
        <v>74</v>
      </c>
      <c r="G146">
        <v>45</v>
      </c>
      <c r="H146" t="s">
        <v>48</v>
      </c>
      <c r="I146">
        <v>20</v>
      </c>
      <c r="J146" t="s">
        <v>102</v>
      </c>
      <c r="K146" s="32" t="s">
        <v>206</v>
      </c>
      <c r="L146" s="35">
        <v>50000</v>
      </c>
      <c r="M146" s="35"/>
      <c r="N146" s="35">
        <v>50000</v>
      </c>
      <c r="O146" s="35">
        <v>0</v>
      </c>
      <c r="P146" s="35"/>
      <c r="Q146" s="35"/>
      <c r="R146" s="35"/>
      <c r="S146" s="43">
        <f t="shared" si="3"/>
        <v>0</v>
      </c>
      <c r="T146" s="35"/>
      <c r="U146" s="35"/>
      <c r="V146" s="35"/>
      <c r="W146" s="35"/>
      <c r="X146" s="35"/>
      <c r="Y146" s="58"/>
    </row>
    <row r="147" spans="1:25" ht="75" x14ac:dyDescent="0.25">
      <c r="A147" t="s">
        <v>47</v>
      </c>
      <c r="B147" t="s">
        <v>123</v>
      </c>
      <c r="C147" t="s">
        <v>44</v>
      </c>
      <c r="D147" t="s">
        <v>45</v>
      </c>
      <c r="E147" t="s">
        <v>301</v>
      </c>
      <c r="F147" s="32" t="s">
        <v>74</v>
      </c>
      <c r="G147">
        <v>45</v>
      </c>
      <c r="H147" t="s">
        <v>48</v>
      </c>
      <c r="I147">
        <v>20</v>
      </c>
      <c r="J147" t="s">
        <v>102</v>
      </c>
      <c r="K147" s="32" t="s">
        <v>130</v>
      </c>
      <c r="L147" s="35">
        <v>854318.49</v>
      </c>
      <c r="M147" s="35">
        <v>312177.49</v>
      </c>
      <c r="N147" s="35">
        <v>576950.02</v>
      </c>
      <c r="O147" s="35">
        <v>277368.46999999997</v>
      </c>
      <c r="P147" s="35">
        <v>277368.46999999997</v>
      </c>
      <c r="Q147" s="35">
        <v>277368.46999999997</v>
      </c>
      <c r="R147" s="35"/>
      <c r="S147" s="43">
        <f t="shared" si="3"/>
        <v>277368.46999999997</v>
      </c>
      <c r="T147" s="35"/>
      <c r="U147" s="35"/>
      <c r="V147" s="35"/>
      <c r="W147" s="35"/>
      <c r="X147" s="35"/>
      <c r="Y147" s="60" t="s">
        <v>323</v>
      </c>
    </row>
    <row r="148" spans="1:25" ht="75" x14ac:dyDescent="0.25">
      <c r="A148" t="s">
        <v>47</v>
      </c>
      <c r="B148" t="s">
        <v>138</v>
      </c>
      <c r="C148" t="s">
        <v>44</v>
      </c>
      <c r="D148" t="s">
        <v>45</v>
      </c>
      <c r="E148" t="s">
        <v>293</v>
      </c>
      <c r="F148" s="32" t="s">
        <v>46</v>
      </c>
      <c r="G148">
        <v>55</v>
      </c>
      <c r="H148" t="s">
        <v>86</v>
      </c>
      <c r="I148">
        <v>20</v>
      </c>
      <c r="J148" t="s">
        <v>183</v>
      </c>
      <c r="K148" s="32" t="s">
        <v>186</v>
      </c>
      <c r="L148" s="35">
        <v>214078.67</v>
      </c>
      <c r="M148" s="35"/>
      <c r="N148" s="35">
        <v>186619.29</v>
      </c>
      <c r="O148" s="47">
        <v>27459.380000000005</v>
      </c>
      <c r="P148" s="35">
        <v>0</v>
      </c>
      <c r="Q148" s="35"/>
      <c r="R148" s="35"/>
      <c r="S148" s="43">
        <f t="shared" si="3"/>
        <v>0</v>
      </c>
      <c r="T148" s="35"/>
      <c r="U148" s="35"/>
      <c r="V148" s="35"/>
      <c r="W148" s="35"/>
      <c r="X148" s="35">
        <f>O148</f>
        <v>27459.380000000005</v>
      </c>
      <c r="Y148" s="58" t="s">
        <v>267</v>
      </c>
    </row>
    <row r="149" spans="1:25" ht="75" x14ac:dyDescent="0.25">
      <c r="A149" t="s">
        <v>47</v>
      </c>
      <c r="B149" t="s">
        <v>138</v>
      </c>
      <c r="C149" t="s">
        <v>44</v>
      </c>
      <c r="D149" t="s">
        <v>45</v>
      </c>
      <c r="E149" t="s">
        <v>293</v>
      </c>
      <c r="F149" s="32" t="s">
        <v>46</v>
      </c>
      <c r="G149">
        <v>15</v>
      </c>
      <c r="H149" t="s">
        <v>99</v>
      </c>
      <c r="I149">
        <v>20</v>
      </c>
      <c r="J149" s="70" t="s">
        <v>187</v>
      </c>
      <c r="K149" s="32" t="s">
        <v>188</v>
      </c>
      <c r="L149" s="35">
        <v>23000</v>
      </c>
      <c r="M149" s="35"/>
      <c r="N149" s="35">
        <v>23000</v>
      </c>
      <c r="O149" s="35">
        <v>0</v>
      </c>
      <c r="P149" s="35"/>
      <c r="Q149" s="35"/>
      <c r="R149" s="35"/>
      <c r="S149" s="43">
        <f t="shared" si="3"/>
        <v>0</v>
      </c>
      <c r="T149" s="35"/>
      <c r="U149" s="35"/>
      <c r="V149" s="35"/>
      <c r="W149" s="35"/>
      <c r="X149" s="35"/>
      <c r="Y149" s="58"/>
    </row>
    <row r="150" spans="1:25" ht="103.5" customHeight="1" x14ac:dyDescent="0.25">
      <c r="A150" t="s">
        <v>47</v>
      </c>
      <c r="B150" t="s">
        <v>138</v>
      </c>
      <c r="C150" t="s">
        <v>44</v>
      </c>
      <c r="D150" t="s">
        <v>45</v>
      </c>
      <c r="E150" t="s">
        <v>293</v>
      </c>
      <c r="F150" s="32" t="s">
        <v>46</v>
      </c>
      <c r="G150">
        <v>55</v>
      </c>
      <c r="H150" t="s">
        <v>86</v>
      </c>
      <c r="I150">
        <v>20</v>
      </c>
      <c r="K150" s="32" t="s">
        <v>139</v>
      </c>
      <c r="L150" s="35">
        <v>700844</v>
      </c>
      <c r="M150" s="35">
        <v>8843</v>
      </c>
      <c r="N150" s="35">
        <v>690472.05</v>
      </c>
      <c r="O150" s="35">
        <v>10371.949999999953</v>
      </c>
      <c r="P150" s="35">
        <v>10371.950000000001</v>
      </c>
      <c r="Q150" s="35">
        <v>10371.950000000001</v>
      </c>
      <c r="R150" s="35"/>
      <c r="S150" s="43">
        <f t="shared" si="3"/>
        <v>10371.950000000001</v>
      </c>
      <c r="T150" s="35"/>
      <c r="U150" s="35"/>
      <c r="V150" s="35"/>
      <c r="W150" s="35"/>
      <c r="X150" s="35"/>
      <c r="Y150" s="58" t="s">
        <v>315</v>
      </c>
    </row>
    <row r="151" spans="1:25" ht="75" x14ac:dyDescent="0.25">
      <c r="A151" t="s">
        <v>47</v>
      </c>
      <c r="B151" t="s">
        <v>140</v>
      </c>
      <c r="C151" t="s">
        <v>44</v>
      </c>
      <c r="D151" t="s">
        <v>45</v>
      </c>
      <c r="E151" t="s">
        <v>305</v>
      </c>
      <c r="F151" s="32" t="s">
        <v>72</v>
      </c>
      <c r="G151">
        <v>45</v>
      </c>
      <c r="H151" t="s">
        <v>48</v>
      </c>
      <c r="I151">
        <v>20</v>
      </c>
      <c r="K151" s="32" t="s">
        <v>238</v>
      </c>
      <c r="L151" s="35">
        <v>266912</v>
      </c>
      <c r="M151" s="35"/>
      <c r="N151" s="51">
        <v>267202.55</v>
      </c>
      <c r="O151" s="35">
        <v>-290.54999999998836</v>
      </c>
      <c r="P151" s="35"/>
      <c r="Q151" s="35"/>
      <c r="R151" s="35"/>
      <c r="S151" s="43">
        <f t="shared" si="3"/>
        <v>0</v>
      </c>
      <c r="T151" s="35"/>
      <c r="U151" s="35"/>
      <c r="V151" s="35"/>
      <c r="W151" s="35"/>
      <c r="X151" s="35"/>
      <c r="Y151" s="61"/>
    </row>
    <row r="152" spans="1:25" ht="75" x14ac:dyDescent="0.25">
      <c r="A152" t="s">
        <v>47</v>
      </c>
      <c r="B152" t="s">
        <v>140</v>
      </c>
      <c r="C152" t="s">
        <v>44</v>
      </c>
      <c r="D152" t="s">
        <v>45</v>
      </c>
      <c r="E152" t="s">
        <v>305</v>
      </c>
      <c r="F152" s="32" t="s">
        <v>72</v>
      </c>
      <c r="G152">
        <v>45</v>
      </c>
      <c r="H152" t="s">
        <v>48</v>
      </c>
      <c r="I152">
        <v>20</v>
      </c>
      <c r="K152" s="32" t="s">
        <v>401</v>
      </c>
      <c r="L152" s="35">
        <v>716844</v>
      </c>
      <c r="M152" s="35"/>
      <c r="N152" s="35">
        <v>716844</v>
      </c>
      <c r="O152" s="35">
        <v>0</v>
      </c>
      <c r="P152" s="35"/>
      <c r="Q152" s="35"/>
      <c r="R152" s="35"/>
      <c r="S152" s="43">
        <f t="shared" si="3"/>
        <v>0</v>
      </c>
      <c r="T152" s="35"/>
      <c r="U152" s="35"/>
      <c r="V152" s="35"/>
      <c r="W152" s="35"/>
      <c r="X152" s="35"/>
      <c r="Y152" s="61"/>
    </row>
    <row r="153" spans="1:25" ht="83.25" customHeight="1" x14ac:dyDescent="0.25">
      <c r="A153" t="s">
        <v>47</v>
      </c>
      <c r="B153" t="s">
        <v>140</v>
      </c>
      <c r="C153" t="s">
        <v>44</v>
      </c>
      <c r="D153" t="s">
        <v>45</v>
      </c>
      <c r="E153" t="s">
        <v>305</v>
      </c>
      <c r="F153" s="32" t="s">
        <v>72</v>
      </c>
      <c r="G153">
        <v>45</v>
      </c>
      <c r="H153" t="s">
        <v>48</v>
      </c>
      <c r="I153">
        <v>20</v>
      </c>
      <c r="K153" s="32" t="s">
        <v>141</v>
      </c>
      <c r="L153" s="35">
        <v>2785830.75</v>
      </c>
      <c r="M153" s="35">
        <v>225830.75</v>
      </c>
      <c r="N153" s="51">
        <v>2489985.1</v>
      </c>
      <c r="O153" s="35">
        <v>295845.64999999991</v>
      </c>
      <c r="P153" s="35">
        <v>295845.64999999991</v>
      </c>
      <c r="Q153" s="35">
        <f>295845.65-273748</f>
        <v>22097.650000000023</v>
      </c>
      <c r="R153" s="35">
        <v>273748</v>
      </c>
      <c r="S153" s="43">
        <f t="shared" si="3"/>
        <v>295845.65000000002</v>
      </c>
      <c r="T153" s="35"/>
      <c r="U153" s="35"/>
      <c r="V153" s="35"/>
      <c r="W153" s="35"/>
      <c r="X153" s="35"/>
      <c r="Y153" s="58" t="s">
        <v>369</v>
      </c>
    </row>
    <row r="154" spans="1:25" ht="75" x14ac:dyDescent="0.25">
      <c r="A154" t="s">
        <v>47</v>
      </c>
      <c r="B154" t="s">
        <v>140</v>
      </c>
      <c r="C154" t="s">
        <v>44</v>
      </c>
      <c r="D154" t="s">
        <v>45</v>
      </c>
      <c r="E154" t="s">
        <v>305</v>
      </c>
      <c r="F154" s="32" t="s">
        <v>72</v>
      </c>
      <c r="G154">
        <v>45</v>
      </c>
      <c r="H154" t="s">
        <v>48</v>
      </c>
      <c r="I154">
        <v>20</v>
      </c>
      <c r="K154" s="32" t="s">
        <v>142</v>
      </c>
      <c r="L154" s="35">
        <v>203457</v>
      </c>
      <c r="M154" s="35">
        <v>3720</v>
      </c>
      <c r="N154" s="51">
        <v>200192.73</v>
      </c>
      <c r="O154" s="35">
        <v>3264.2699999999895</v>
      </c>
      <c r="P154" s="35">
        <v>3264.2699999999895</v>
      </c>
      <c r="Q154" s="35">
        <v>3263.9999999999895</v>
      </c>
      <c r="R154" s="35"/>
      <c r="S154" s="43">
        <f t="shared" si="3"/>
        <v>3263.9999999999895</v>
      </c>
      <c r="T154" s="35"/>
      <c r="U154" s="35"/>
      <c r="V154" s="35"/>
      <c r="W154" s="35"/>
      <c r="X154" s="35"/>
      <c r="Y154" s="58" t="s">
        <v>371</v>
      </c>
    </row>
    <row r="155" spans="1:25" ht="75" x14ac:dyDescent="0.25">
      <c r="A155" t="s">
        <v>47</v>
      </c>
      <c r="B155" t="s">
        <v>140</v>
      </c>
      <c r="C155" t="s">
        <v>44</v>
      </c>
      <c r="D155" t="s">
        <v>45</v>
      </c>
      <c r="E155" t="s">
        <v>305</v>
      </c>
      <c r="F155" s="32" t="s">
        <v>72</v>
      </c>
      <c r="G155">
        <v>45</v>
      </c>
      <c r="H155" t="s">
        <v>48</v>
      </c>
      <c r="I155">
        <v>20</v>
      </c>
      <c r="K155" s="32" t="s">
        <v>143</v>
      </c>
      <c r="L155" s="35">
        <v>190890</v>
      </c>
      <c r="M155" s="35">
        <v>34640</v>
      </c>
      <c r="N155" s="51">
        <v>186190</v>
      </c>
      <c r="O155" s="35">
        <v>4700</v>
      </c>
      <c r="P155" s="35">
        <v>4700</v>
      </c>
      <c r="Q155" s="35">
        <v>4436.1000000000013</v>
      </c>
      <c r="R155" s="35"/>
      <c r="S155" s="43">
        <f t="shared" si="3"/>
        <v>4436.1000000000013</v>
      </c>
      <c r="T155" s="35"/>
      <c r="U155" s="35"/>
      <c r="V155" s="35"/>
      <c r="W155" s="35"/>
      <c r="X155" s="35"/>
      <c r="Y155" s="58" t="s">
        <v>370</v>
      </c>
    </row>
    <row r="156" spans="1:25" ht="75" x14ac:dyDescent="0.25">
      <c r="A156" t="s">
        <v>47</v>
      </c>
      <c r="B156" t="s">
        <v>140</v>
      </c>
      <c r="C156" t="s">
        <v>44</v>
      </c>
      <c r="D156" t="s">
        <v>45</v>
      </c>
      <c r="E156" t="s">
        <v>305</v>
      </c>
      <c r="F156" s="32" t="s">
        <v>72</v>
      </c>
      <c r="G156">
        <v>45</v>
      </c>
      <c r="H156" t="s">
        <v>48</v>
      </c>
      <c r="I156">
        <v>20</v>
      </c>
      <c r="K156" s="32" t="s">
        <v>144</v>
      </c>
      <c r="L156" s="35">
        <v>126890.26</v>
      </c>
      <c r="M156" s="35">
        <v>4501.26</v>
      </c>
      <c r="N156" s="51">
        <v>126253</v>
      </c>
      <c r="O156" s="35">
        <v>637.25999999999476</v>
      </c>
      <c r="P156" s="35">
        <v>637.25999999999476</v>
      </c>
      <c r="Q156" s="35">
        <v>636.99999999999477</v>
      </c>
      <c r="R156" s="35"/>
      <c r="S156" s="43">
        <f t="shared" si="3"/>
        <v>636.99999999999477</v>
      </c>
      <c r="T156" s="35"/>
      <c r="U156" s="35"/>
      <c r="V156" s="35"/>
      <c r="W156" s="35"/>
      <c r="X156" s="35"/>
      <c r="Y156" s="58" t="s">
        <v>370</v>
      </c>
    </row>
    <row r="157" spans="1:25" ht="75" x14ac:dyDescent="0.25">
      <c r="A157" t="s">
        <v>47</v>
      </c>
      <c r="B157" t="s">
        <v>140</v>
      </c>
      <c r="C157" t="s">
        <v>44</v>
      </c>
      <c r="D157" t="s">
        <v>45</v>
      </c>
      <c r="E157" t="s">
        <v>305</v>
      </c>
      <c r="F157" s="32" t="s">
        <v>72</v>
      </c>
      <c r="G157">
        <v>45</v>
      </c>
      <c r="H157" t="s">
        <v>48</v>
      </c>
      <c r="I157">
        <v>20</v>
      </c>
      <c r="K157" s="32" t="s">
        <v>145</v>
      </c>
      <c r="L157" s="35">
        <v>115310</v>
      </c>
      <c r="M157" s="35">
        <v>38</v>
      </c>
      <c r="N157" s="51">
        <v>113710</v>
      </c>
      <c r="O157" s="35">
        <v>1600</v>
      </c>
      <c r="P157" s="35">
        <v>1600</v>
      </c>
      <c r="Q157" s="35">
        <v>1600</v>
      </c>
      <c r="R157" s="35"/>
      <c r="S157" s="43">
        <f t="shared" si="3"/>
        <v>1600</v>
      </c>
      <c r="T157" s="35"/>
      <c r="U157" s="35"/>
      <c r="V157" s="35"/>
      <c r="W157" s="35"/>
      <c r="X157" s="35"/>
      <c r="Y157" s="58" t="s">
        <v>371</v>
      </c>
    </row>
    <row r="158" spans="1:25" ht="75" x14ac:dyDescent="0.25">
      <c r="A158" t="s">
        <v>47</v>
      </c>
      <c r="B158" t="s">
        <v>140</v>
      </c>
      <c r="C158" t="s">
        <v>44</v>
      </c>
      <c r="D158" t="s">
        <v>45</v>
      </c>
      <c r="E158" t="s">
        <v>305</v>
      </c>
      <c r="F158" s="32" t="s">
        <v>72</v>
      </c>
      <c r="G158">
        <v>45</v>
      </c>
      <c r="H158" t="s">
        <v>48</v>
      </c>
      <c r="I158">
        <v>20</v>
      </c>
      <c r="K158" s="32" t="s">
        <v>146</v>
      </c>
      <c r="L158" s="35">
        <v>85874</v>
      </c>
      <c r="M158" s="35">
        <v>2031</v>
      </c>
      <c r="N158" s="51">
        <v>85848.12</v>
      </c>
      <c r="O158" s="35">
        <v>25.880000000004657</v>
      </c>
      <c r="P158" s="35">
        <v>25.880000000004657</v>
      </c>
      <c r="Q158" s="35">
        <v>4.6576076329074567E-12</v>
      </c>
      <c r="R158" s="35"/>
      <c r="S158" s="43">
        <f t="shared" si="3"/>
        <v>4.6576076329074567E-12</v>
      </c>
      <c r="T158" s="35"/>
      <c r="U158" s="35"/>
      <c r="V158" s="35"/>
      <c r="W158" s="35"/>
      <c r="X158" s="35"/>
      <c r="Y158" s="58"/>
    </row>
    <row r="159" spans="1:25" ht="75" x14ac:dyDescent="0.25">
      <c r="A159" t="s">
        <v>47</v>
      </c>
      <c r="B159" t="s">
        <v>140</v>
      </c>
      <c r="C159" t="s">
        <v>44</v>
      </c>
      <c r="D159" t="s">
        <v>45</v>
      </c>
      <c r="E159" t="s">
        <v>305</v>
      </c>
      <c r="F159" s="32" t="s">
        <v>72</v>
      </c>
      <c r="G159">
        <v>45</v>
      </c>
      <c r="H159" t="s">
        <v>48</v>
      </c>
      <c r="I159">
        <v>20</v>
      </c>
      <c r="K159" s="32" t="s">
        <v>147</v>
      </c>
      <c r="L159" s="35">
        <v>86158</v>
      </c>
      <c r="M159" s="35">
        <v>2386</v>
      </c>
      <c r="N159" s="51">
        <v>83717.98</v>
      </c>
      <c r="O159" s="35">
        <v>2440.0200000000041</v>
      </c>
      <c r="P159" s="35">
        <v>2440.0200000000041</v>
      </c>
      <c r="Q159" s="35">
        <v>2440.0000000000041</v>
      </c>
      <c r="R159" s="35"/>
      <c r="S159" s="43">
        <f t="shared" si="3"/>
        <v>2440.0000000000041</v>
      </c>
      <c r="T159" s="35"/>
      <c r="U159" s="35"/>
      <c r="V159" s="35"/>
      <c r="W159" s="35"/>
      <c r="X159" s="35"/>
      <c r="Y159" s="58" t="s">
        <v>370</v>
      </c>
    </row>
    <row r="160" spans="1:25" ht="75" x14ac:dyDescent="0.25">
      <c r="A160" t="s">
        <v>47</v>
      </c>
      <c r="B160" t="s">
        <v>140</v>
      </c>
      <c r="C160" t="s">
        <v>44</v>
      </c>
      <c r="D160" t="s">
        <v>45</v>
      </c>
      <c r="E160" t="s">
        <v>305</v>
      </c>
      <c r="F160" s="32" t="s">
        <v>72</v>
      </c>
      <c r="G160">
        <v>45</v>
      </c>
      <c r="H160" t="s">
        <v>48</v>
      </c>
      <c r="I160">
        <v>20</v>
      </c>
      <c r="K160" s="32" t="s">
        <v>148</v>
      </c>
      <c r="L160" s="35">
        <v>74022</v>
      </c>
      <c r="M160" s="35">
        <v>300</v>
      </c>
      <c r="N160" s="51">
        <v>74022</v>
      </c>
      <c r="O160" s="35">
        <v>0</v>
      </c>
      <c r="P160" s="35"/>
      <c r="Q160" s="35"/>
      <c r="R160" s="35"/>
      <c r="S160" s="43">
        <f t="shared" si="3"/>
        <v>0</v>
      </c>
      <c r="T160" s="35"/>
      <c r="U160" s="35"/>
      <c r="V160" s="35"/>
      <c r="W160" s="35"/>
      <c r="X160" s="35"/>
      <c r="Y160" s="58"/>
    </row>
    <row r="161" spans="1:25" ht="75" x14ac:dyDescent="0.25">
      <c r="A161" t="s">
        <v>47</v>
      </c>
      <c r="B161" t="s">
        <v>140</v>
      </c>
      <c r="C161" t="s">
        <v>44</v>
      </c>
      <c r="D161" t="s">
        <v>45</v>
      </c>
      <c r="E161" t="s">
        <v>305</v>
      </c>
      <c r="F161" s="32" t="s">
        <v>72</v>
      </c>
      <c r="G161">
        <v>45</v>
      </c>
      <c r="H161" t="s">
        <v>48</v>
      </c>
      <c r="I161">
        <v>20</v>
      </c>
      <c r="K161" s="32" t="s">
        <v>149</v>
      </c>
      <c r="L161" s="35">
        <v>54098</v>
      </c>
      <c r="M161" s="35">
        <v>2775</v>
      </c>
      <c r="N161" s="51">
        <v>54098</v>
      </c>
      <c r="O161" s="35">
        <v>0</v>
      </c>
      <c r="P161" s="35"/>
      <c r="Q161" s="35"/>
      <c r="R161" s="35"/>
      <c r="S161" s="43">
        <f t="shared" si="3"/>
        <v>0</v>
      </c>
      <c r="T161" s="35"/>
      <c r="U161" s="35"/>
      <c r="V161" s="35"/>
      <c r="W161" s="35"/>
      <c r="X161" s="35"/>
      <c r="Y161" s="58"/>
    </row>
    <row r="162" spans="1:25" ht="75" x14ac:dyDescent="0.25">
      <c r="A162" t="s">
        <v>47</v>
      </c>
      <c r="B162" t="s">
        <v>140</v>
      </c>
      <c r="C162" t="s">
        <v>44</v>
      </c>
      <c r="D162" t="s">
        <v>45</v>
      </c>
      <c r="E162" t="s">
        <v>305</v>
      </c>
      <c r="F162" s="32" t="s">
        <v>72</v>
      </c>
      <c r="G162">
        <v>45</v>
      </c>
      <c r="H162" t="s">
        <v>48</v>
      </c>
      <c r="I162">
        <v>20</v>
      </c>
      <c r="K162" s="32" t="s">
        <v>150</v>
      </c>
      <c r="L162" s="35">
        <v>32562</v>
      </c>
      <c r="M162" s="35">
        <v>366</v>
      </c>
      <c r="N162" s="51">
        <v>32414.78</v>
      </c>
      <c r="O162" s="35">
        <v>147.22000000000116</v>
      </c>
      <c r="P162" s="35">
        <v>147.22000000000116</v>
      </c>
      <c r="Q162" s="35">
        <v>147.00000000000117</v>
      </c>
      <c r="R162" s="35"/>
      <c r="S162" s="43">
        <f t="shared" si="3"/>
        <v>147.00000000000117</v>
      </c>
      <c r="T162" s="35"/>
      <c r="U162" s="35"/>
      <c r="V162" s="35"/>
      <c r="W162" s="35"/>
      <c r="X162" s="35"/>
      <c r="Y162" s="58" t="s">
        <v>370</v>
      </c>
    </row>
    <row r="163" spans="1:25" ht="75" x14ac:dyDescent="0.25">
      <c r="A163" t="s">
        <v>47</v>
      </c>
      <c r="B163" t="s">
        <v>140</v>
      </c>
      <c r="C163" t="s">
        <v>44</v>
      </c>
      <c r="D163" t="s">
        <v>45</v>
      </c>
      <c r="E163" t="s">
        <v>305</v>
      </c>
      <c r="F163" s="32" t="s">
        <v>72</v>
      </c>
      <c r="G163">
        <v>45</v>
      </c>
      <c r="H163" t="s">
        <v>48</v>
      </c>
      <c r="I163">
        <v>20</v>
      </c>
      <c r="K163" s="32" t="s">
        <v>151</v>
      </c>
      <c r="L163" s="35">
        <v>3827.8</v>
      </c>
      <c r="M163" s="35">
        <v>3827.8</v>
      </c>
      <c r="N163" s="51">
        <v>1065.8</v>
      </c>
      <c r="O163" s="35">
        <v>2762</v>
      </c>
      <c r="P163" s="35">
        <v>2762</v>
      </c>
      <c r="Q163" s="35">
        <v>2762</v>
      </c>
      <c r="R163" s="35"/>
      <c r="S163" s="43">
        <f t="shared" si="3"/>
        <v>2762</v>
      </c>
      <c r="T163" s="35"/>
      <c r="U163" s="35"/>
      <c r="V163" s="35"/>
      <c r="W163" s="35"/>
      <c r="X163" s="35"/>
      <c r="Y163" s="58" t="s">
        <v>370</v>
      </c>
    </row>
    <row r="164" spans="1:25" ht="105" x14ac:dyDescent="0.25">
      <c r="A164" t="s">
        <v>47</v>
      </c>
      <c r="B164" t="s">
        <v>140</v>
      </c>
      <c r="C164" t="s">
        <v>44</v>
      </c>
      <c r="D164" t="s">
        <v>45</v>
      </c>
      <c r="E164" t="s">
        <v>305</v>
      </c>
      <c r="F164" s="32" t="s">
        <v>72</v>
      </c>
      <c r="G164">
        <v>5</v>
      </c>
      <c r="H164" t="s">
        <v>86</v>
      </c>
      <c r="I164">
        <v>20</v>
      </c>
      <c r="K164" s="50" t="s">
        <v>152</v>
      </c>
      <c r="L164" s="35">
        <v>1522559.08</v>
      </c>
      <c r="M164" s="35">
        <v>287153.08</v>
      </c>
      <c r="N164" s="35">
        <v>1235714.22</v>
      </c>
      <c r="O164" s="35">
        <v>286844.8600000001</v>
      </c>
      <c r="P164" s="35">
        <v>286844.8600000001</v>
      </c>
      <c r="Q164" s="35">
        <f>286844.86</f>
        <v>286844.86</v>
      </c>
      <c r="R164" s="35"/>
      <c r="S164" s="43">
        <f t="shared" si="3"/>
        <v>286844.86</v>
      </c>
      <c r="T164" s="35"/>
      <c r="U164" s="35"/>
      <c r="V164" s="35"/>
      <c r="W164" s="35"/>
      <c r="X164" s="35"/>
      <c r="Y164" s="67" t="s">
        <v>399</v>
      </c>
    </row>
    <row r="165" spans="1:25" ht="90" x14ac:dyDescent="0.25">
      <c r="A165" t="s">
        <v>47</v>
      </c>
      <c r="B165" t="s">
        <v>47</v>
      </c>
      <c r="C165" t="s">
        <v>161</v>
      </c>
      <c r="D165" t="s">
        <v>162</v>
      </c>
      <c r="E165" t="s">
        <v>299</v>
      </c>
      <c r="F165" s="32" t="s">
        <v>163</v>
      </c>
      <c r="G165">
        <v>45</v>
      </c>
      <c r="H165" t="s">
        <v>48</v>
      </c>
      <c r="I165">
        <v>20</v>
      </c>
      <c r="K165" s="32" t="s">
        <v>164</v>
      </c>
      <c r="L165" s="35">
        <v>2318455</v>
      </c>
      <c r="M165" s="35">
        <v>48455</v>
      </c>
      <c r="N165" s="35">
        <v>2318455</v>
      </c>
      <c r="O165" s="35">
        <v>0</v>
      </c>
      <c r="P165" s="35"/>
      <c r="Q165" s="35"/>
      <c r="R165" s="35"/>
      <c r="S165" s="43">
        <f t="shared" si="3"/>
        <v>0</v>
      </c>
      <c r="T165" s="35"/>
      <c r="U165" s="35"/>
      <c r="V165" s="35"/>
      <c r="W165" s="35"/>
      <c r="X165" s="35"/>
      <c r="Y165" s="58"/>
    </row>
    <row r="166" spans="1:25" ht="90" x14ac:dyDescent="0.25">
      <c r="A166" t="s">
        <v>47</v>
      </c>
      <c r="B166" t="s">
        <v>47</v>
      </c>
      <c r="C166" t="s">
        <v>161</v>
      </c>
      <c r="D166" t="s">
        <v>162</v>
      </c>
      <c r="E166" t="s">
        <v>299</v>
      </c>
      <c r="F166" s="32" t="s">
        <v>163</v>
      </c>
      <c r="G166">
        <v>45</v>
      </c>
      <c r="H166" t="s">
        <v>48</v>
      </c>
      <c r="I166">
        <v>20</v>
      </c>
      <c r="K166" s="32" t="s">
        <v>167</v>
      </c>
      <c r="L166" s="35">
        <v>72034.080000000002</v>
      </c>
      <c r="M166" s="35">
        <v>72034.080000000002</v>
      </c>
      <c r="N166" s="35">
        <v>72034.080000000002</v>
      </c>
      <c r="O166" s="35">
        <v>0</v>
      </c>
      <c r="P166" s="35"/>
      <c r="Q166" s="35"/>
      <c r="R166" s="35"/>
      <c r="S166" s="43">
        <f t="shared" si="3"/>
        <v>0</v>
      </c>
      <c r="T166" s="35"/>
      <c r="U166" s="35"/>
      <c r="V166" s="35"/>
      <c r="W166" s="35"/>
      <c r="X166" s="35"/>
      <c r="Y166" s="58"/>
    </row>
    <row r="167" spans="1:25" ht="90" x14ac:dyDescent="0.25">
      <c r="A167" t="s">
        <v>47</v>
      </c>
      <c r="B167" t="s">
        <v>47</v>
      </c>
      <c r="C167" t="s">
        <v>161</v>
      </c>
      <c r="D167" t="s">
        <v>162</v>
      </c>
      <c r="E167" t="s">
        <v>299</v>
      </c>
      <c r="F167" s="32" t="s">
        <v>163</v>
      </c>
      <c r="G167">
        <v>45</v>
      </c>
      <c r="H167" t="s">
        <v>48</v>
      </c>
      <c r="I167">
        <v>20</v>
      </c>
      <c r="K167" s="32" t="s">
        <v>266</v>
      </c>
      <c r="L167" s="35">
        <v>1872383</v>
      </c>
      <c r="M167" s="35"/>
      <c r="N167" s="35">
        <v>1872383</v>
      </c>
      <c r="O167" s="35">
        <v>0</v>
      </c>
      <c r="P167" s="35"/>
      <c r="Q167" s="35"/>
      <c r="R167" s="35"/>
      <c r="S167" s="43">
        <f t="shared" si="3"/>
        <v>0</v>
      </c>
      <c r="T167" s="35"/>
      <c r="U167" s="35"/>
      <c r="V167" s="35"/>
      <c r="W167" s="35"/>
      <c r="X167" s="35"/>
      <c r="Y167" s="58"/>
    </row>
    <row r="168" spans="1:25" ht="97.9" customHeight="1" x14ac:dyDescent="0.25">
      <c r="A168" t="s">
        <v>47</v>
      </c>
      <c r="B168" t="s">
        <v>47</v>
      </c>
      <c r="C168" t="s">
        <v>161</v>
      </c>
      <c r="D168" t="s">
        <v>162</v>
      </c>
      <c r="E168" t="s">
        <v>299</v>
      </c>
      <c r="F168" s="32" t="s">
        <v>163</v>
      </c>
      <c r="G168">
        <v>45</v>
      </c>
      <c r="H168" t="s">
        <v>48</v>
      </c>
      <c r="I168">
        <v>20</v>
      </c>
      <c r="K168" s="50" t="s">
        <v>348</v>
      </c>
      <c r="L168" s="35">
        <v>236807</v>
      </c>
      <c r="M168" s="35">
        <v>79641</v>
      </c>
      <c r="N168" s="35">
        <v>61100</v>
      </c>
      <c r="O168" s="35">
        <v>175707</v>
      </c>
      <c r="P168" s="35">
        <v>175707</v>
      </c>
      <c r="Q168" s="51">
        <f>P168+80285.22</f>
        <v>255992.22</v>
      </c>
      <c r="R168" s="35"/>
      <c r="S168" s="43">
        <f t="shared" si="3"/>
        <v>255992.22</v>
      </c>
      <c r="T168" s="35"/>
      <c r="U168" s="35"/>
      <c r="V168" s="35"/>
      <c r="W168" s="35"/>
      <c r="X168" s="35"/>
      <c r="Y168" s="67" t="s">
        <v>396</v>
      </c>
    </row>
    <row r="169" spans="1:25" ht="86.45" customHeight="1" x14ac:dyDescent="0.25">
      <c r="A169" t="s">
        <v>47</v>
      </c>
      <c r="B169" t="s">
        <v>47</v>
      </c>
      <c r="C169" t="s">
        <v>161</v>
      </c>
      <c r="D169" t="s">
        <v>162</v>
      </c>
      <c r="E169" t="s">
        <v>299</v>
      </c>
      <c r="F169" s="32" t="s">
        <v>163</v>
      </c>
      <c r="G169">
        <v>45</v>
      </c>
      <c r="H169" t="s">
        <v>48</v>
      </c>
      <c r="I169">
        <v>20</v>
      </c>
      <c r="K169" s="50" t="s">
        <v>168</v>
      </c>
      <c r="L169" s="35">
        <v>477912.17</v>
      </c>
      <c r="M169" s="35">
        <v>477912.17</v>
      </c>
      <c r="N169" s="35">
        <v>441807.12</v>
      </c>
      <c r="O169" s="35">
        <v>36105.049999999988</v>
      </c>
      <c r="P169" s="35">
        <v>36105.049999999988</v>
      </c>
      <c r="Q169" s="48">
        <f>P169-36105.05</f>
        <v>0</v>
      </c>
      <c r="R169" s="47"/>
      <c r="S169" s="43">
        <f t="shared" si="3"/>
        <v>0</v>
      </c>
      <c r="T169" s="47"/>
      <c r="U169" s="47"/>
      <c r="V169" s="35"/>
      <c r="W169" s="35"/>
      <c r="X169" s="47"/>
      <c r="Y169" s="67" t="s">
        <v>395</v>
      </c>
    </row>
    <row r="170" spans="1:25" ht="90" x14ac:dyDescent="0.25">
      <c r="A170" t="s">
        <v>47</v>
      </c>
      <c r="B170" t="s">
        <v>47</v>
      </c>
      <c r="C170" t="s">
        <v>161</v>
      </c>
      <c r="D170" t="s">
        <v>162</v>
      </c>
      <c r="E170" t="s">
        <v>299</v>
      </c>
      <c r="F170" s="32" t="s">
        <v>163</v>
      </c>
      <c r="G170">
        <v>45</v>
      </c>
      <c r="H170" t="s">
        <v>48</v>
      </c>
      <c r="I170">
        <v>20</v>
      </c>
      <c r="K170" s="50" t="s">
        <v>253</v>
      </c>
      <c r="L170" s="35">
        <v>100000</v>
      </c>
      <c r="M170" s="35"/>
      <c r="N170" s="35">
        <v>94503.92</v>
      </c>
      <c r="O170" s="35">
        <v>5496.0800000000017</v>
      </c>
      <c r="P170" s="35">
        <v>5496.0800000000017</v>
      </c>
      <c r="Q170" s="48">
        <f>P170-5496.08</f>
        <v>0</v>
      </c>
      <c r="R170" s="47"/>
      <c r="S170" s="43">
        <f t="shared" si="3"/>
        <v>0</v>
      </c>
      <c r="T170" s="47"/>
      <c r="U170" s="47"/>
      <c r="V170" s="35"/>
      <c r="W170" s="35"/>
      <c r="X170" s="47"/>
      <c r="Y170" s="67" t="s">
        <v>394</v>
      </c>
    </row>
    <row r="171" spans="1:25" ht="76.900000000000006" customHeight="1" x14ac:dyDescent="0.25">
      <c r="A171" t="s">
        <v>47</v>
      </c>
      <c r="B171" t="s">
        <v>47</v>
      </c>
      <c r="C171" t="s">
        <v>161</v>
      </c>
      <c r="D171" t="s">
        <v>162</v>
      </c>
      <c r="E171" t="s">
        <v>299</v>
      </c>
      <c r="F171" s="32" t="s">
        <v>163</v>
      </c>
      <c r="G171">
        <v>45</v>
      </c>
      <c r="H171" t="s">
        <v>48</v>
      </c>
      <c r="I171">
        <v>20</v>
      </c>
      <c r="K171" s="50" t="s">
        <v>166</v>
      </c>
      <c r="L171" s="35">
        <v>99999.55</v>
      </c>
      <c r="M171" s="35">
        <v>12349.55</v>
      </c>
      <c r="N171" s="35">
        <v>94655.77</v>
      </c>
      <c r="O171" s="35">
        <v>5343.7799999999988</v>
      </c>
      <c r="P171" s="35">
        <v>5343.7799999999988</v>
      </c>
      <c r="Q171" s="48">
        <f>P171-5343.78</f>
        <v>0</v>
      </c>
      <c r="R171" s="47"/>
      <c r="S171" s="43">
        <f t="shared" si="3"/>
        <v>0</v>
      </c>
      <c r="T171" s="47"/>
      <c r="U171" s="47"/>
      <c r="V171" s="35"/>
      <c r="W171" s="35"/>
      <c r="X171" s="47"/>
      <c r="Y171" s="67" t="s">
        <v>393</v>
      </c>
    </row>
    <row r="172" spans="1:25" ht="101.25" customHeight="1" x14ac:dyDescent="0.25">
      <c r="A172" t="s">
        <v>47</v>
      </c>
      <c r="B172" t="s">
        <v>47</v>
      </c>
      <c r="C172" t="s">
        <v>161</v>
      </c>
      <c r="D172" t="s">
        <v>162</v>
      </c>
      <c r="E172" t="s">
        <v>299</v>
      </c>
      <c r="F172" s="32" t="s">
        <v>163</v>
      </c>
      <c r="G172">
        <v>45</v>
      </c>
      <c r="H172" t="s">
        <v>48</v>
      </c>
      <c r="I172">
        <v>20</v>
      </c>
      <c r="K172" s="50" t="s">
        <v>165</v>
      </c>
      <c r="L172" s="35">
        <v>107022</v>
      </c>
      <c r="M172" s="35">
        <v>24235</v>
      </c>
      <c r="N172" s="35">
        <v>83913.77</v>
      </c>
      <c r="O172" s="35">
        <v>23108.229999999996</v>
      </c>
      <c r="P172" s="35">
        <v>23108.229999999996</v>
      </c>
      <c r="Q172" s="48">
        <f>P172-23108.23</f>
        <v>0</v>
      </c>
      <c r="R172" s="47"/>
      <c r="S172" s="43">
        <f t="shared" si="3"/>
        <v>0</v>
      </c>
      <c r="T172" s="47"/>
      <c r="U172" s="47"/>
      <c r="V172" s="35"/>
      <c r="W172" s="35"/>
      <c r="X172" s="47"/>
      <c r="Y172" s="67" t="s">
        <v>391</v>
      </c>
    </row>
    <row r="173" spans="1:25" ht="90" x14ac:dyDescent="0.25">
      <c r="A173" t="s">
        <v>47</v>
      </c>
      <c r="B173" t="s">
        <v>47</v>
      </c>
      <c r="C173" t="s">
        <v>161</v>
      </c>
      <c r="D173" t="s">
        <v>162</v>
      </c>
      <c r="E173" t="s">
        <v>299</v>
      </c>
      <c r="F173" s="32" t="s">
        <v>163</v>
      </c>
      <c r="G173">
        <v>45</v>
      </c>
      <c r="H173" t="s">
        <v>48</v>
      </c>
      <c r="I173">
        <v>20</v>
      </c>
      <c r="K173" s="50" t="s">
        <v>252</v>
      </c>
      <c r="L173" s="35">
        <v>502700</v>
      </c>
      <c r="M173" s="35"/>
      <c r="N173" s="35">
        <v>502392.12</v>
      </c>
      <c r="O173" s="35">
        <v>307.88000000000466</v>
      </c>
      <c r="P173" s="35">
        <v>307.88000000000466</v>
      </c>
      <c r="Q173" s="48">
        <f>P173-307.88</f>
        <v>4.6611603465862572E-12</v>
      </c>
      <c r="R173" s="47"/>
      <c r="S173" s="43">
        <f t="shared" si="3"/>
        <v>4.6611603465862572E-12</v>
      </c>
      <c r="T173" s="47"/>
      <c r="U173" s="47"/>
      <c r="V173" s="35"/>
      <c r="W173" s="35"/>
      <c r="X173" s="47"/>
      <c r="Y173" s="58" t="s">
        <v>392</v>
      </c>
    </row>
    <row r="174" spans="1:25" ht="94.15" customHeight="1" x14ac:dyDescent="0.25">
      <c r="A174" t="s">
        <v>47</v>
      </c>
      <c r="B174" t="s">
        <v>47</v>
      </c>
      <c r="C174" t="s">
        <v>161</v>
      </c>
      <c r="D174" t="s">
        <v>162</v>
      </c>
      <c r="E174" t="s">
        <v>299</v>
      </c>
      <c r="F174" s="32" t="s">
        <v>163</v>
      </c>
      <c r="G174">
        <v>45</v>
      </c>
      <c r="H174" t="s">
        <v>48</v>
      </c>
      <c r="I174">
        <v>20</v>
      </c>
      <c r="K174" s="50" t="s">
        <v>251</v>
      </c>
      <c r="L174" s="35">
        <v>51545</v>
      </c>
      <c r="M174" s="35"/>
      <c r="N174" s="35">
        <v>9620.7999999999993</v>
      </c>
      <c r="O174" s="35">
        <v>41924.199999999997</v>
      </c>
      <c r="P174" s="35">
        <v>41924.199999999997</v>
      </c>
      <c r="Q174" s="48">
        <f>P174-41924.2</f>
        <v>0</v>
      </c>
      <c r="R174" s="47"/>
      <c r="S174" s="43">
        <f t="shared" si="3"/>
        <v>0</v>
      </c>
      <c r="T174" s="47"/>
      <c r="U174" s="47"/>
      <c r="V174" s="35"/>
      <c r="W174" s="35"/>
      <c r="X174" s="47"/>
      <c r="Y174" s="58" t="s">
        <v>390</v>
      </c>
    </row>
    <row r="175" spans="1:25" ht="90" x14ac:dyDescent="0.25">
      <c r="A175" t="s">
        <v>47</v>
      </c>
      <c r="B175" t="s">
        <v>47</v>
      </c>
      <c r="C175" t="s">
        <v>161</v>
      </c>
      <c r="D175" t="s">
        <v>162</v>
      </c>
      <c r="E175" t="s">
        <v>299</v>
      </c>
      <c r="F175" s="32" t="s">
        <v>163</v>
      </c>
      <c r="G175">
        <v>55</v>
      </c>
      <c r="H175" t="s">
        <v>86</v>
      </c>
      <c r="I175">
        <v>20</v>
      </c>
      <c r="K175" s="50" t="s">
        <v>346</v>
      </c>
      <c r="L175" s="35">
        <v>110551</v>
      </c>
      <c r="M175" s="35">
        <v>38050</v>
      </c>
      <c r="N175" s="35">
        <v>40655.369999999995</v>
      </c>
      <c r="O175" s="35">
        <v>69895.63</v>
      </c>
      <c r="P175" s="35">
        <v>69895.63</v>
      </c>
      <c r="Q175" s="35">
        <v>69895.63</v>
      </c>
      <c r="R175" s="35"/>
      <c r="S175" s="43">
        <f t="shared" si="3"/>
        <v>69895.63</v>
      </c>
      <c r="T175" s="35"/>
      <c r="U175" s="35"/>
      <c r="V175" s="35"/>
      <c r="W175" s="35"/>
      <c r="X175" s="35"/>
      <c r="Y175" s="58" t="s">
        <v>397</v>
      </c>
    </row>
    <row r="176" spans="1:25" ht="90" x14ac:dyDescent="0.25">
      <c r="A176" t="s">
        <v>47</v>
      </c>
      <c r="B176" t="s">
        <v>47</v>
      </c>
      <c r="C176" t="s">
        <v>161</v>
      </c>
      <c r="D176" t="s">
        <v>162</v>
      </c>
      <c r="E176" t="s">
        <v>299</v>
      </c>
      <c r="F176" s="32" t="s">
        <v>163</v>
      </c>
      <c r="G176">
        <v>45</v>
      </c>
      <c r="H176" t="s">
        <v>48</v>
      </c>
      <c r="I176">
        <v>20</v>
      </c>
      <c r="J176" t="s">
        <v>249</v>
      </c>
      <c r="K176" s="32" t="s">
        <v>250</v>
      </c>
      <c r="L176" s="35">
        <v>2548.8000000000002</v>
      </c>
      <c r="M176" s="35"/>
      <c r="N176" s="35">
        <v>2548.8000000000002</v>
      </c>
      <c r="O176" s="35">
        <v>0</v>
      </c>
      <c r="P176" s="35"/>
      <c r="Q176" s="35"/>
      <c r="R176" s="35"/>
      <c r="S176" s="43">
        <f t="shared" si="3"/>
        <v>0</v>
      </c>
      <c r="T176" s="35"/>
      <c r="U176" s="35"/>
      <c r="V176" s="35"/>
      <c r="W176" s="35"/>
      <c r="X176" s="35"/>
      <c r="Y176" s="58"/>
    </row>
    <row r="177" spans="1:25" ht="120" x14ac:dyDescent="0.25">
      <c r="A177" t="s">
        <v>47</v>
      </c>
      <c r="B177" t="s">
        <v>47</v>
      </c>
      <c r="C177" t="s">
        <v>161</v>
      </c>
      <c r="D177" t="s">
        <v>162</v>
      </c>
      <c r="E177" t="s">
        <v>299</v>
      </c>
      <c r="F177" s="32" t="s">
        <v>163</v>
      </c>
      <c r="G177">
        <v>45</v>
      </c>
      <c r="H177" t="s">
        <v>48</v>
      </c>
      <c r="I177">
        <v>20</v>
      </c>
      <c r="J177" t="s">
        <v>243</v>
      </c>
      <c r="K177" s="32" t="s">
        <v>246</v>
      </c>
      <c r="L177" s="35">
        <v>2180000</v>
      </c>
      <c r="M177" s="35"/>
      <c r="N177" s="35">
        <v>54279.85</v>
      </c>
      <c r="O177" s="35">
        <v>2125720.15</v>
      </c>
      <c r="P177" s="35">
        <v>2125720.15</v>
      </c>
      <c r="Q177" s="35">
        <v>2125720.15</v>
      </c>
      <c r="R177" s="35"/>
      <c r="S177" s="43">
        <f t="shared" si="3"/>
        <v>2125720.15</v>
      </c>
      <c r="T177" s="35"/>
      <c r="U177" s="35"/>
      <c r="V177" s="35"/>
      <c r="W177" s="35"/>
      <c r="X177" s="35"/>
      <c r="Y177" s="58" t="s">
        <v>353</v>
      </c>
    </row>
    <row r="178" spans="1:25" ht="120" x14ac:dyDescent="0.25">
      <c r="A178" t="s">
        <v>47</v>
      </c>
      <c r="B178" t="s">
        <v>47</v>
      </c>
      <c r="C178" t="s">
        <v>161</v>
      </c>
      <c r="D178" t="s">
        <v>162</v>
      </c>
      <c r="E178" t="s">
        <v>299</v>
      </c>
      <c r="F178" s="32" t="s">
        <v>163</v>
      </c>
      <c r="G178">
        <v>45</v>
      </c>
      <c r="H178" t="s">
        <v>48</v>
      </c>
      <c r="I178">
        <v>20</v>
      </c>
      <c r="J178" t="s">
        <v>243</v>
      </c>
      <c r="K178" s="32" t="s">
        <v>247</v>
      </c>
      <c r="L178" s="35">
        <v>1366400</v>
      </c>
      <c r="M178" s="35"/>
      <c r="N178" s="35">
        <v>127562.38</v>
      </c>
      <c r="O178" s="35">
        <v>1238837.6200000001</v>
      </c>
      <c r="P178" s="35">
        <v>1238837.6200000001</v>
      </c>
      <c r="Q178" s="35">
        <v>1238837.6200000001</v>
      </c>
      <c r="R178" s="35"/>
      <c r="S178" s="43">
        <f t="shared" si="3"/>
        <v>1238837.6200000001</v>
      </c>
      <c r="T178" s="35"/>
      <c r="U178" s="35"/>
      <c r="V178" s="35"/>
      <c r="W178" s="35"/>
      <c r="X178" s="35"/>
      <c r="Y178" s="58" t="s">
        <v>355</v>
      </c>
    </row>
    <row r="179" spans="1:25" ht="90" x14ac:dyDescent="0.25">
      <c r="A179" t="s">
        <v>47</v>
      </c>
      <c r="B179" t="s">
        <v>47</v>
      </c>
      <c r="C179" t="s">
        <v>161</v>
      </c>
      <c r="D179" t="s">
        <v>162</v>
      </c>
      <c r="E179" t="s">
        <v>299</v>
      </c>
      <c r="F179" s="32" t="s">
        <v>163</v>
      </c>
      <c r="G179">
        <v>45</v>
      </c>
      <c r="H179" t="s">
        <v>48</v>
      </c>
      <c r="I179">
        <v>20</v>
      </c>
      <c r="J179" t="s">
        <v>243</v>
      </c>
      <c r="K179" s="32" t="s">
        <v>248</v>
      </c>
      <c r="L179" s="35">
        <v>31100</v>
      </c>
      <c r="M179" s="35"/>
      <c r="N179" s="35">
        <v>995.01</v>
      </c>
      <c r="O179" s="35">
        <v>30104.99</v>
      </c>
      <c r="P179" s="35">
        <v>30104.99</v>
      </c>
      <c r="Q179" s="35">
        <v>30104.99</v>
      </c>
      <c r="R179" s="35"/>
      <c r="S179" s="43">
        <f t="shared" si="3"/>
        <v>30104.99</v>
      </c>
      <c r="T179" s="35"/>
      <c r="U179" s="35"/>
      <c r="V179" s="35"/>
      <c r="W179" s="35"/>
      <c r="X179" s="35"/>
      <c r="Y179" s="58" t="s">
        <v>356</v>
      </c>
    </row>
    <row r="180" spans="1:25" ht="90" x14ac:dyDescent="0.25">
      <c r="A180" t="s">
        <v>47</v>
      </c>
      <c r="B180" t="s">
        <v>47</v>
      </c>
      <c r="C180" t="s">
        <v>161</v>
      </c>
      <c r="D180" t="s">
        <v>162</v>
      </c>
      <c r="E180" t="s">
        <v>299</v>
      </c>
      <c r="F180" s="32" t="s">
        <v>163</v>
      </c>
      <c r="G180">
        <v>55</v>
      </c>
      <c r="H180" t="s">
        <v>86</v>
      </c>
      <c r="I180">
        <v>20</v>
      </c>
      <c r="J180" t="s">
        <v>243</v>
      </c>
      <c r="K180" s="32" t="s">
        <v>244</v>
      </c>
      <c r="L180" s="35">
        <v>28000</v>
      </c>
      <c r="M180" s="35"/>
      <c r="N180" s="35"/>
      <c r="O180" s="35">
        <v>28000</v>
      </c>
      <c r="P180" s="35">
        <v>28000</v>
      </c>
      <c r="Q180" s="35">
        <v>28000</v>
      </c>
      <c r="R180" s="35"/>
      <c r="S180" s="43">
        <f t="shared" si="3"/>
        <v>28000</v>
      </c>
      <c r="T180" s="35"/>
      <c r="U180" s="35"/>
      <c r="V180" s="35"/>
      <c r="W180" s="35"/>
      <c r="X180" s="35"/>
      <c r="Y180" s="58" t="s">
        <v>349</v>
      </c>
    </row>
    <row r="181" spans="1:25" ht="90" x14ac:dyDescent="0.25">
      <c r="A181" t="s">
        <v>47</v>
      </c>
      <c r="B181" t="s">
        <v>47</v>
      </c>
      <c r="C181" t="s">
        <v>161</v>
      </c>
      <c r="D181" t="s">
        <v>162</v>
      </c>
      <c r="E181" t="s">
        <v>299</v>
      </c>
      <c r="F181" s="32" t="s">
        <v>163</v>
      </c>
      <c r="G181">
        <v>55</v>
      </c>
      <c r="H181" t="s">
        <v>86</v>
      </c>
      <c r="I181">
        <v>20</v>
      </c>
      <c r="J181" t="s">
        <v>243</v>
      </c>
      <c r="K181" s="32" t="s">
        <v>245</v>
      </c>
      <c r="L181" s="35">
        <v>385000</v>
      </c>
      <c r="M181" s="35"/>
      <c r="N181" s="35">
        <v>254941</v>
      </c>
      <c r="O181" s="35">
        <v>130059</v>
      </c>
      <c r="P181" s="35">
        <v>130059</v>
      </c>
      <c r="Q181" s="35">
        <v>0</v>
      </c>
      <c r="R181" s="35">
        <v>130059</v>
      </c>
      <c r="S181" s="43">
        <f t="shared" si="3"/>
        <v>130059</v>
      </c>
      <c r="T181" s="35"/>
      <c r="U181" s="35"/>
      <c r="V181" s="35"/>
      <c r="W181" s="35"/>
      <c r="X181" s="35"/>
      <c r="Y181" s="58" t="s">
        <v>350</v>
      </c>
    </row>
    <row r="182" spans="1:25" ht="90" x14ac:dyDescent="0.25">
      <c r="A182" t="s">
        <v>47</v>
      </c>
      <c r="B182" t="s">
        <v>47</v>
      </c>
      <c r="C182" t="s">
        <v>161</v>
      </c>
      <c r="D182" t="s">
        <v>162</v>
      </c>
      <c r="E182" t="s">
        <v>299</v>
      </c>
      <c r="F182" s="32" t="s">
        <v>163</v>
      </c>
      <c r="G182">
        <v>15</v>
      </c>
      <c r="H182" t="s">
        <v>99</v>
      </c>
      <c r="I182">
        <v>20</v>
      </c>
      <c r="J182" t="s">
        <v>243</v>
      </c>
      <c r="K182" s="32" t="s">
        <v>244</v>
      </c>
      <c r="L182" s="35">
        <v>42000</v>
      </c>
      <c r="M182" s="35"/>
      <c r="N182" s="35">
        <v>9361.19</v>
      </c>
      <c r="O182" s="35">
        <v>32638.809999999998</v>
      </c>
      <c r="P182" s="35">
        <v>32638.809999999998</v>
      </c>
      <c r="Q182" s="48">
        <v>0</v>
      </c>
      <c r="R182" s="35"/>
      <c r="S182" s="43">
        <f t="shared" si="3"/>
        <v>0</v>
      </c>
      <c r="T182" s="35"/>
      <c r="U182" s="35">
        <f>P182</f>
        <v>32638.809999999998</v>
      </c>
      <c r="V182" s="35"/>
      <c r="W182" s="35"/>
      <c r="X182" s="35"/>
      <c r="Y182" s="61" t="s">
        <v>379</v>
      </c>
    </row>
    <row r="183" spans="1:25" ht="90" x14ac:dyDescent="0.25">
      <c r="A183" t="s">
        <v>47</v>
      </c>
      <c r="B183" t="s">
        <v>47</v>
      </c>
      <c r="C183" t="s">
        <v>161</v>
      </c>
      <c r="D183" t="s">
        <v>162</v>
      </c>
      <c r="E183" t="s">
        <v>299</v>
      </c>
      <c r="F183" s="32" t="s">
        <v>163</v>
      </c>
      <c r="G183">
        <v>45</v>
      </c>
      <c r="H183" t="s">
        <v>48</v>
      </c>
      <c r="I183">
        <v>20</v>
      </c>
      <c r="J183" t="s">
        <v>169</v>
      </c>
      <c r="K183" s="32" t="s">
        <v>170</v>
      </c>
      <c r="L183" s="35">
        <v>5502.02</v>
      </c>
      <c r="M183" s="35">
        <v>5502.02</v>
      </c>
      <c r="N183" s="35">
        <v>50.22</v>
      </c>
      <c r="O183" s="35">
        <v>5451.8</v>
      </c>
      <c r="P183" s="35">
        <v>0</v>
      </c>
      <c r="Q183" s="35"/>
      <c r="R183" s="35"/>
      <c r="S183" s="43">
        <f t="shared" si="3"/>
        <v>0</v>
      </c>
      <c r="T183" s="35"/>
      <c r="U183" s="35">
        <f>O183</f>
        <v>5451.8</v>
      </c>
      <c r="V183" s="35"/>
      <c r="W183" s="35"/>
      <c r="X183" s="35"/>
      <c r="Y183" s="60" t="s">
        <v>380</v>
      </c>
    </row>
    <row r="184" spans="1:25" ht="72" customHeight="1" x14ac:dyDescent="0.25">
      <c r="A184" t="s">
        <v>47</v>
      </c>
      <c r="B184" t="s">
        <v>47</v>
      </c>
      <c r="C184" t="s">
        <v>161</v>
      </c>
      <c r="D184" t="s">
        <v>162</v>
      </c>
      <c r="E184" t="s">
        <v>299</v>
      </c>
      <c r="F184" s="32" t="s">
        <v>163</v>
      </c>
      <c r="G184">
        <v>55</v>
      </c>
      <c r="H184" t="s">
        <v>86</v>
      </c>
      <c r="I184">
        <v>20</v>
      </c>
      <c r="K184" s="50" t="s">
        <v>244</v>
      </c>
      <c r="L184" s="35"/>
      <c r="M184" s="35"/>
      <c r="N184" s="35"/>
      <c r="O184" s="35"/>
      <c r="P184" s="35"/>
      <c r="Q184" s="51">
        <v>32000</v>
      </c>
      <c r="R184" s="35"/>
      <c r="S184" s="43">
        <f t="shared" ref="S184:S188" si="4">Q184+R184</f>
        <v>32000</v>
      </c>
      <c r="T184" s="35"/>
      <c r="U184" s="35"/>
      <c r="V184" s="35"/>
      <c r="W184" s="35"/>
      <c r="X184" s="35"/>
      <c r="Y184" s="60" t="s">
        <v>398</v>
      </c>
    </row>
    <row r="185" spans="1:25" ht="90" x14ac:dyDescent="0.25">
      <c r="A185" t="s">
        <v>47</v>
      </c>
      <c r="B185" t="s">
        <v>47</v>
      </c>
      <c r="C185" t="s">
        <v>161</v>
      </c>
      <c r="D185" t="s">
        <v>162</v>
      </c>
      <c r="E185" t="s">
        <v>299</v>
      </c>
      <c r="F185" s="32" t="s">
        <v>163</v>
      </c>
      <c r="G185">
        <v>5</v>
      </c>
      <c r="H185" t="s">
        <v>86</v>
      </c>
      <c r="I185">
        <v>20</v>
      </c>
      <c r="J185" t="s">
        <v>169</v>
      </c>
      <c r="K185" s="32" t="s">
        <v>171</v>
      </c>
      <c r="L185" s="35">
        <v>57000</v>
      </c>
      <c r="M185" s="35">
        <v>57000</v>
      </c>
      <c r="N185" s="35">
        <v>48730.9</v>
      </c>
      <c r="O185" s="35">
        <v>8269.0999999999985</v>
      </c>
      <c r="P185" s="35">
        <f>O185-8269.1</f>
        <v>0</v>
      </c>
      <c r="Q185" s="35"/>
      <c r="R185" s="35"/>
      <c r="S185" s="43">
        <f t="shared" si="4"/>
        <v>0</v>
      </c>
      <c r="T185" s="35"/>
      <c r="U185" s="35">
        <f>O185</f>
        <v>8269.0999999999985</v>
      </c>
      <c r="V185" s="35"/>
      <c r="W185" s="35"/>
      <c r="X185" s="35"/>
      <c r="Y185" s="60" t="s">
        <v>357</v>
      </c>
    </row>
    <row r="186" spans="1:25" ht="90" x14ac:dyDescent="0.25">
      <c r="A186" t="s">
        <v>47</v>
      </c>
      <c r="B186" t="s">
        <v>47</v>
      </c>
      <c r="C186" t="s">
        <v>161</v>
      </c>
      <c r="D186" t="s">
        <v>162</v>
      </c>
      <c r="E186" t="s">
        <v>299</v>
      </c>
      <c r="F186" s="32" t="s">
        <v>163</v>
      </c>
      <c r="G186">
        <v>45</v>
      </c>
      <c r="H186" t="s">
        <v>48</v>
      </c>
      <c r="I186">
        <v>20</v>
      </c>
      <c r="J186" t="s">
        <v>169</v>
      </c>
      <c r="K186" s="32" t="s">
        <v>172</v>
      </c>
      <c r="L186" s="35">
        <v>2567312</v>
      </c>
      <c r="M186" s="35">
        <v>2567312</v>
      </c>
      <c r="N186" s="35">
        <v>2124999.92</v>
      </c>
      <c r="O186" s="35">
        <v>442312.08000000007</v>
      </c>
      <c r="P186" s="35">
        <v>0</v>
      </c>
      <c r="Q186" s="35"/>
      <c r="R186" s="35"/>
      <c r="S186" s="43">
        <f t="shared" si="4"/>
        <v>0</v>
      </c>
      <c r="T186" s="35"/>
      <c r="U186" s="35">
        <f>O186</f>
        <v>442312.08000000007</v>
      </c>
      <c r="V186" s="35"/>
      <c r="W186" s="35"/>
      <c r="X186" s="35"/>
      <c r="Y186" s="60" t="s">
        <v>354</v>
      </c>
    </row>
    <row r="187" spans="1:25" ht="88.5" customHeight="1" x14ac:dyDescent="0.25">
      <c r="A187" t="s">
        <v>47</v>
      </c>
      <c r="B187" t="s">
        <v>47</v>
      </c>
      <c r="C187" t="s">
        <v>161</v>
      </c>
      <c r="D187" t="s">
        <v>162</v>
      </c>
      <c r="E187" t="s">
        <v>306</v>
      </c>
      <c r="F187" s="32" t="s">
        <v>173</v>
      </c>
      <c r="G187">
        <v>45</v>
      </c>
      <c r="H187" t="s">
        <v>48</v>
      </c>
      <c r="I187">
        <v>20</v>
      </c>
      <c r="K187" s="32" t="s">
        <v>174</v>
      </c>
      <c r="L187" s="35">
        <v>152845.5</v>
      </c>
      <c r="M187" s="35">
        <v>52845.5</v>
      </c>
      <c r="N187" s="35">
        <v>48905.84</v>
      </c>
      <c r="O187" s="35">
        <v>103939.66</v>
      </c>
      <c r="P187" s="35">
        <v>103939.66</v>
      </c>
      <c r="Q187" s="35">
        <v>0</v>
      </c>
      <c r="R187" s="35"/>
      <c r="S187" s="43">
        <f t="shared" si="4"/>
        <v>0</v>
      </c>
      <c r="T187" s="35"/>
      <c r="U187" s="35"/>
      <c r="V187" s="35"/>
      <c r="W187" s="35"/>
      <c r="X187" s="35">
        <f>O187</f>
        <v>103939.66</v>
      </c>
      <c r="Y187" s="58" t="s">
        <v>365</v>
      </c>
    </row>
    <row r="188" spans="1:25" ht="60" x14ac:dyDescent="0.25">
      <c r="A188" t="s">
        <v>47</v>
      </c>
      <c r="B188" t="s">
        <v>47</v>
      </c>
      <c r="C188" t="s">
        <v>161</v>
      </c>
      <c r="D188" t="s">
        <v>162</v>
      </c>
      <c r="E188" t="s">
        <v>306</v>
      </c>
      <c r="F188" s="32" t="s">
        <v>173</v>
      </c>
      <c r="G188">
        <v>45</v>
      </c>
      <c r="H188" t="s">
        <v>48</v>
      </c>
      <c r="I188">
        <v>20</v>
      </c>
      <c r="K188" s="32" t="s">
        <v>175</v>
      </c>
      <c r="L188" s="35">
        <v>148982</v>
      </c>
      <c r="M188" s="35">
        <v>23982</v>
      </c>
      <c r="N188" s="35">
        <v>125000</v>
      </c>
      <c r="O188" s="35">
        <v>23982</v>
      </c>
      <c r="P188" s="35">
        <v>23982</v>
      </c>
      <c r="Q188" s="35">
        <v>23982</v>
      </c>
      <c r="R188" s="35"/>
      <c r="S188" s="43">
        <f t="shared" si="4"/>
        <v>23982</v>
      </c>
      <c r="T188" s="35"/>
      <c r="U188" s="35"/>
      <c r="V188" s="35"/>
      <c r="W188" s="35"/>
      <c r="X188" s="35"/>
      <c r="Y188" s="58" t="s">
        <v>275</v>
      </c>
    </row>
    <row r="190" spans="1:25" x14ac:dyDescent="0.25">
      <c r="A190" s="2" t="s">
        <v>285</v>
      </c>
    </row>
    <row r="191" spans="1:25" x14ac:dyDescent="0.25">
      <c r="A191" s="3" t="s">
        <v>24</v>
      </c>
    </row>
    <row r="192" spans="1:25" x14ac:dyDescent="0.25">
      <c r="A192" s="3" t="s">
        <v>25</v>
      </c>
    </row>
    <row r="193" spans="1:1" x14ac:dyDescent="0.25">
      <c r="A193" s="3" t="s">
        <v>26</v>
      </c>
    </row>
    <row r="194" spans="1:1" x14ac:dyDescent="0.25">
      <c r="A194" s="3" t="s">
        <v>27</v>
      </c>
    </row>
    <row r="195" spans="1:1" x14ac:dyDescent="0.25">
      <c r="A195" s="3" t="s">
        <v>12</v>
      </c>
    </row>
    <row r="196" spans="1:1" x14ac:dyDescent="0.25">
      <c r="A196" s="3" t="s">
        <v>28</v>
      </c>
    </row>
    <row r="197" spans="1:1" x14ac:dyDescent="0.25">
      <c r="A197" s="3" t="s">
        <v>29</v>
      </c>
    </row>
    <row r="198" spans="1:1" x14ac:dyDescent="0.25">
      <c r="A198" s="1" t="s">
        <v>286</v>
      </c>
    </row>
    <row r="199" spans="1:1" x14ac:dyDescent="0.25">
      <c r="A199" s="4" t="s">
        <v>287</v>
      </c>
    </row>
    <row r="200" spans="1:1" x14ac:dyDescent="0.25">
      <c r="A200" s="4" t="s">
        <v>287</v>
      </c>
    </row>
    <row r="201" spans="1:1" x14ac:dyDescent="0.25">
      <c r="A201" s="4" t="s">
        <v>288</v>
      </c>
    </row>
  </sheetData>
  <autoFilter ref="A9:Y188" xr:uid="{146645E3-9CF0-4EDF-B290-8B4E7C2C4F05}"/>
  <mergeCells count="7">
    <mergeCell ref="Y7:Y8"/>
    <mergeCell ref="X7:X8"/>
    <mergeCell ref="L7:P7"/>
    <mergeCell ref="Q7:S7"/>
    <mergeCell ref="T7:U7"/>
    <mergeCell ref="V7:V8"/>
    <mergeCell ref="W7:W8"/>
  </mergeCells>
  <hyperlinks>
    <hyperlink ref="K21" r:id="rId1" display="Industry@Tallinn &amp; Baltic Event 2024 - BMO OÜ" xr:uid="{99361ECE-E4A7-4CD1-B16E-CC7D4A85823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CE327-7B50-472F-909C-E5F5C35FDDE1}">
  <dimension ref="A1"/>
  <sheetViews>
    <sheetView workbookViewId="0">
      <selection activeCell="U8" sqref="U8"/>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KUM</vt:lpstr>
      <vt:lpstr>Leht1</vt:lpstr>
    </vt:vector>
  </TitlesOfParts>
  <Company>Justiitsministeerium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Silja Kask</dc:creator>
  <cp:lastModifiedBy>Riina Uljas</cp:lastModifiedBy>
  <dcterms:created xsi:type="dcterms:W3CDTF">2021-01-14T20:00:28Z</dcterms:created>
  <dcterms:modified xsi:type="dcterms:W3CDTF">2025-03-28T07:52:15Z</dcterms:modified>
</cp:coreProperties>
</file>